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155"/>
  </bookViews>
  <sheets>
    <sheet name="feb 25" sheetId="11" r:id="rId1"/>
  </sheets>
  <calcPr calcId="125725"/>
</workbook>
</file>

<file path=xl/calcChain.xml><?xml version="1.0" encoding="utf-8"?>
<calcChain xmlns="http://schemas.openxmlformats.org/spreadsheetml/2006/main">
  <c r="Q17" i="11"/>
  <c r="O32" l="1"/>
  <c r="P32"/>
  <c r="Q32"/>
  <c r="N33"/>
  <c r="O33"/>
  <c r="P33"/>
  <c r="Q33"/>
  <c r="N34"/>
  <c r="O34"/>
  <c r="P34"/>
  <c r="Q34"/>
  <c r="O3"/>
  <c r="P3"/>
  <c r="Q3"/>
  <c r="O5"/>
  <c r="P5"/>
  <c r="Q5"/>
  <c r="R13"/>
  <c r="R14"/>
  <c r="O15"/>
  <c r="P15"/>
  <c r="Q15"/>
  <c r="O17"/>
  <c r="P17"/>
  <c r="N23"/>
  <c r="O23"/>
  <c r="P23"/>
  <c r="Q23"/>
  <c r="R23"/>
  <c r="O24"/>
  <c r="P24"/>
  <c r="Q24"/>
  <c r="O25"/>
  <c r="P25"/>
  <c r="Q25"/>
  <c r="O26"/>
  <c r="P26"/>
  <c r="Q26"/>
  <c r="O27"/>
  <c r="P27"/>
  <c r="Q27"/>
  <c r="O28"/>
  <c r="P28"/>
  <c r="Q28"/>
  <c r="O29"/>
  <c r="P29"/>
  <c r="Q29"/>
  <c r="N30"/>
  <c r="O30"/>
  <c r="P30"/>
  <c r="Q30"/>
  <c r="R30"/>
  <c r="N31"/>
  <c r="O31"/>
  <c r="P31"/>
  <c r="Q31"/>
  <c r="R31"/>
  <c r="R33"/>
  <c r="R34"/>
  <c r="N36"/>
  <c r="O36"/>
  <c r="P36"/>
  <c r="Q36"/>
  <c r="R36"/>
  <c r="O37"/>
  <c r="P37"/>
  <c r="Q37"/>
  <c r="O38"/>
  <c r="P38"/>
  <c r="Q38"/>
  <c r="Q40"/>
  <c r="O41"/>
  <c r="P41"/>
  <c r="Q41"/>
  <c r="N42"/>
  <c r="O42"/>
  <c r="P42"/>
  <c r="Q42"/>
  <c r="R42"/>
  <c r="O43"/>
  <c r="P43"/>
  <c r="Q43"/>
  <c r="R47"/>
  <c r="N47"/>
  <c r="O47"/>
  <c r="P47"/>
  <c r="Q47"/>
  <c r="N49"/>
  <c r="O49"/>
  <c r="P49"/>
  <c r="Q49"/>
  <c r="R49"/>
  <c r="N51"/>
  <c r="O51"/>
  <c r="P51"/>
  <c r="Q51"/>
  <c r="R51"/>
  <c r="R53"/>
  <c r="O52"/>
  <c r="P52"/>
  <c r="N54"/>
  <c r="O54"/>
  <c r="P54"/>
  <c r="Q54"/>
  <c r="R54"/>
  <c r="R55"/>
  <c r="O56"/>
  <c r="N56"/>
  <c r="P56"/>
  <c r="Q56"/>
  <c r="R56"/>
  <c r="N57"/>
  <c r="O57"/>
  <c r="P57"/>
  <c r="Q57"/>
  <c r="O58"/>
  <c r="P58"/>
  <c r="Q58"/>
  <c r="O59"/>
  <c r="P59"/>
  <c r="Q59"/>
  <c r="O60"/>
  <c r="P60"/>
  <c r="Q60"/>
  <c r="O61"/>
  <c r="P61"/>
  <c r="Q61"/>
  <c r="O62"/>
  <c r="P62"/>
  <c r="Q62"/>
</calcChain>
</file>

<file path=xl/sharedStrings.xml><?xml version="1.0" encoding="utf-8"?>
<sst xmlns="http://schemas.openxmlformats.org/spreadsheetml/2006/main" count="307" uniqueCount="250">
  <si>
    <t>Programa</t>
  </si>
  <si>
    <t>Descripción Meta Resultado</t>
  </si>
  <si>
    <t>Indicador de Resultado</t>
  </si>
  <si>
    <t xml:space="preserve"> Línea Base  Resultado</t>
  </si>
  <si>
    <t xml:space="preserve"> Meta  Resultado Cuatrenio 2019</t>
  </si>
  <si>
    <t>Descripción Meta Producto</t>
  </si>
  <si>
    <t>Indicador de Producto</t>
  </si>
  <si>
    <t>Línea Base Producto</t>
  </si>
  <si>
    <t>Meta Producto cuatrenio</t>
  </si>
  <si>
    <t>Tipo de Meta</t>
  </si>
  <si>
    <t>Sector</t>
  </si>
  <si>
    <t>Responsable</t>
  </si>
  <si>
    <t>Valor Esperado 2016</t>
  </si>
  <si>
    <t>Valor Esperado 2017</t>
  </si>
  <si>
    <t>Valor Esperado 2018</t>
  </si>
  <si>
    <t>Valor Esperado 2019</t>
  </si>
  <si>
    <t>Otros 2016</t>
  </si>
  <si>
    <t>Recursos Propios 2016</t>
  </si>
  <si>
    <t>SGP Alimentacion Escolar 2016</t>
  </si>
  <si>
    <t>SGP Educacion 2016</t>
  </si>
  <si>
    <t>SGP Libre Inversion 2016</t>
  </si>
  <si>
    <t xml:space="preserve"> Total 2016 (miles)</t>
  </si>
  <si>
    <t>Otros 2017</t>
  </si>
  <si>
    <t>Recursos Propios 2017</t>
  </si>
  <si>
    <t>SGP Alimentacion Escolar 2017</t>
  </si>
  <si>
    <t xml:space="preserve"> SGP Educacion 2017</t>
  </si>
  <si>
    <t xml:space="preserve"> SGP Libre Inversion 2017</t>
  </si>
  <si>
    <t>Total 2017 (miles)</t>
  </si>
  <si>
    <t>Otros 2018</t>
  </si>
  <si>
    <t xml:space="preserve"> Recursos Propios 2018</t>
  </si>
  <si>
    <t xml:space="preserve"> SGP Alimentacion Escolar 2018</t>
  </si>
  <si>
    <t>SGP Educacion 2018</t>
  </si>
  <si>
    <t>SGP Libre Inversion 2018</t>
  </si>
  <si>
    <t>Total 2018 (miles)</t>
  </si>
  <si>
    <t>Otros 2019</t>
  </si>
  <si>
    <t>Recursos Propios 2019</t>
  </si>
  <si>
    <t>SGP Alimentacion Escolar 2019</t>
  </si>
  <si>
    <t>SGP Educacion 2019</t>
  </si>
  <si>
    <t>SGP Libre Inversion 2019</t>
  </si>
  <si>
    <t>Total 2019 (miles)</t>
  </si>
  <si>
    <t>Objetivo Estrategico</t>
  </si>
  <si>
    <t>Eje Estratégico</t>
  </si>
  <si>
    <t>Línea Estratégica</t>
  </si>
  <si>
    <t>Subprograma</t>
  </si>
  <si>
    <t>CodSector</t>
  </si>
  <si>
    <t>COBERTURA E INFRAESTRUCTURA</t>
  </si>
  <si>
    <t xml:space="preserve">Aumentar a 74% la tasa de cobertura neta en preescolar (sin extraedad) </t>
  </si>
  <si>
    <t xml:space="preserve">Tasa de cobertura neta en preescolar (sin extraedad) </t>
  </si>
  <si>
    <t>66,91% (Fuente: MEN, corte 31 octubre 2015)</t>
  </si>
  <si>
    <t>IMPULSO AL DESARROLLO DE LA PRIMERA INFANCIA</t>
  </si>
  <si>
    <t xml:space="preserve">Sistema de Inspección y Vigilancia de Hogares Infantiles  y CDI Fortalecido y Ejercido en el componente educativo.        </t>
  </si>
  <si>
    <t xml:space="preserve">Aumentar a 59% la tasa de cobertura neta en educación media global </t>
  </si>
  <si>
    <t xml:space="preserve">Tasa de cobertura neta en educación media global </t>
  </si>
  <si>
    <t xml:space="preserve">No de Hogares Infantiles  y CDI intervenidos en el componente educativo.        </t>
  </si>
  <si>
    <t xml:space="preserve">Disminuir a 3,7% la tasa de deserción </t>
  </si>
  <si>
    <t xml:space="preserve">Tasa de deserción </t>
  </si>
  <si>
    <t xml:space="preserve">Número de Estudiantes Matriculados en Preescolar  (Transición) </t>
  </si>
  <si>
    <t xml:space="preserve">Disminuir a 1,5% la tasa de analfabetismo </t>
  </si>
  <si>
    <t xml:space="preserve">Tasa de analfabetismo </t>
  </si>
  <si>
    <t xml:space="preserve">Aulas Escolares nuevas construidas  para Preescolar </t>
  </si>
  <si>
    <t>PRIMERO LA ESCUELA</t>
  </si>
  <si>
    <t xml:space="preserve">No de estudiantes de educación media dentro del sistema educativo oficial </t>
  </si>
  <si>
    <t>NADIE SE VA</t>
  </si>
  <si>
    <t xml:space="preserve">Número de Estudiantes transportados anualmente a sus sedes de IEO para garantizarles educación.  </t>
  </si>
  <si>
    <t xml:space="preserve">Número de estudiantes atendidos con modelos flexibles. </t>
  </si>
  <si>
    <t xml:space="preserve">Sistema de Información para la prevención de la deserción implementado. </t>
  </si>
  <si>
    <t>INCLUSION EDUCATIVA</t>
  </si>
  <si>
    <t xml:space="preserve">No. Estudiantes con necesidades educativas especiales Atendidos por el sistema educativo oficial   </t>
  </si>
  <si>
    <t xml:space="preserve">No de equipos interdisciplinarios para apoyo a las IEO en la atención de Estudiantes con NEE </t>
  </si>
  <si>
    <t xml:space="preserve">Número de docentes cualificados en atención de estudiantes con  NEE. </t>
  </si>
  <si>
    <t xml:space="preserve">Numero de estudiantes victimas dentro del sistema educativo </t>
  </si>
  <si>
    <t xml:space="preserve">EDUCACIÓN PARA JÓVENES Y ADULTOS </t>
  </si>
  <si>
    <t xml:space="preserve">No de jóvenes y adultos atendidos en ciclo Lectivo educativo I (CLEI Nivel 1) </t>
  </si>
  <si>
    <t>PLAN DE INFRAESTRUCTURA EDUCATIVA DISTRITAL</t>
  </si>
  <si>
    <t xml:space="preserve">Plan de Infraestructura Educativa formulado </t>
  </si>
  <si>
    <t xml:space="preserve">No de  Aulas Nuevas al servicio de la educación en jornada única </t>
  </si>
  <si>
    <t>LA CALIDAD DIGNIFICA</t>
  </si>
  <si>
    <t xml:space="preserve">Elevar a 5,7 el Indice Sintetico de Calidad Educativa-ISCE, en Basica Primaria (FUENTE: M.E.N. corte 2015) Informe Colombia Aprende 2016 </t>
  </si>
  <si>
    <t xml:space="preserve">Indice Sintetico de Calidad Educativa-ISCE, en Basica Primaria (FUENTE: M.E.N. corte 2015) Informe Colombia Aprende 2016 </t>
  </si>
  <si>
    <t xml:space="preserve">SABER MAS, SABER MEJOR </t>
  </si>
  <si>
    <t xml:space="preserve">No de Establecimientos Educativos  Oficiales con  Índice Sintético de Calidad Educativa-ISCE en la Media, con nivel al menos igual al ISCE promedio Nacional. </t>
  </si>
  <si>
    <t xml:space="preserve">Elevar a 5,7 el Indice Sintetico de Calidad Educativa-ISCE, en Basica Secundaria  </t>
  </si>
  <si>
    <t xml:space="preserve">Indice Sintetico de Calidad Educativa-ISCE, en Basica Secundaria  </t>
  </si>
  <si>
    <t xml:space="preserve">Número de Establecimientos Educativos Oficiales con grado 11° con desempeños alineados en la clasificacion A+ , A  y B </t>
  </si>
  <si>
    <t xml:space="preserve">Elevar a 6,2 el Indice Sintetico de Calidad Educativa-ISCE, en La Media </t>
  </si>
  <si>
    <t xml:space="preserve">Indice Sintetico de Calidad Educativa-ISCE, en La Media </t>
  </si>
  <si>
    <t xml:space="preserve">Mejorar  Componente Desempeño (ISCE) Básica primaria  </t>
  </si>
  <si>
    <t xml:space="preserve">Disminuir a 40% la brecha porcentual  entre área rural y urbana de IEO  en la clasificación "D" en prueba Saber 11°  </t>
  </si>
  <si>
    <t xml:space="preserve">Brecha porcentual  entre área rural y urbana de IEO  en la clasificación "D" en prueba Saber 11°  </t>
  </si>
  <si>
    <t xml:space="preserve">Mejorar componente Desempeño (ISCE) Básica secundaria </t>
  </si>
  <si>
    <t xml:space="preserve">Mejorar Componente Desempeño (ISCE) Media </t>
  </si>
  <si>
    <t xml:space="preserve">No de IEO con semilleros de investigacion implementados </t>
  </si>
  <si>
    <t xml:space="preserve">MEJORES DOCENTES Y DIRECTIVOS DOCENTES </t>
  </si>
  <si>
    <t xml:space="preserve">No de docentes formados en evaluación por competencias. </t>
  </si>
  <si>
    <t xml:space="preserve">No de docentes formados  en metodología de Investigación para el mejoramiento de la calidad educativa.  </t>
  </si>
  <si>
    <t xml:space="preserve">ND </t>
  </si>
  <si>
    <t xml:space="preserve">No de docentes y directivos docentes formados  en especializaciones y/o maestrías.   </t>
  </si>
  <si>
    <t xml:space="preserve">No de directivos docentes cualificados en gestión escolar. </t>
  </si>
  <si>
    <t xml:space="preserve">No  de Docentes y directivos docentes con experiencias educativas innovadoras para el mejoramiento de la calidad educativa.  </t>
  </si>
  <si>
    <t xml:space="preserve">ACTUALIZACIÓN DE CURRÍCULOS ESCOLARES </t>
  </si>
  <si>
    <t xml:space="preserve">No  de instituciones educativas con currículos ajustados a la política vigente e implementados.  </t>
  </si>
  <si>
    <t xml:space="preserve">No de Establecimientos Educativos Oficiales  con bajo indice en los indicadores de Calidad y Eficiencia Interna,fortalecidos en la gestión escolar integral. </t>
  </si>
  <si>
    <t>No de IEO con Proyectos Educativos Institucionales resignificados.</t>
  </si>
  <si>
    <t>ESCUELAS BILINGUES</t>
  </si>
  <si>
    <t xml:space="preserve">% de estudiantes de I.E.O. con jornada extendida bilingüe con nivel mínimo  "B1" en las  pruebas saber 11°, según el MCERL </t>
  </si>
  <si>
    <t>FORTALECIMIENTO DE LA ETNOEDUCACIÓN</t>
  </si>
  <si>
    <t xml:space="preserve">No de IEO  etnoeducativas con PEI ajustados y actualizados. </t>
  </si>
  <si>
    <t xml:space="preserve">No de IEO que desarrollan la Cátedra de Estudios Afrocolombianos. </t>
  </si>
  <si>
    <t>INCORPORACIÓN  DE LA TECNOLOGÍA  EN EL PROCESO DE ENSEÑANZA APRENDIZAJE</t>
  </si>
  <si>
    <t xml:space="preserve">No de niños por Terminal. </t>
  </si>
  <si>
    <t xml:space="preserve">Numero de Docentes y directivos docentes formados en uso y apropiación de TIC. </t>
  </si>
  <si>
    <t xml:space="preserve">Numero de Docentes que aplican las TIC en proceso Enseñanza y Aprendizaje.  </t>
  </si>
  <si>
    <t xml:space="preserve">Numero de usuarios que interactuan con la Plataforma Academica Colombia Evaluadora. </t>
  </si>
  <si>
    <t>LA ESCUELA COMO  EJE INTEGRADOR  DE LOS PROCESOS FORMATIVOS</t>
  </si>
  <si>
    <t xml:space="preserve">Nodo social humanístico implementado.  </t>
  </si>
  <si>
    <t xml:space="preserve">Número de Instituciones Educativas Oficiales beneficiadas con el  Nodo social humanístico implementado.   </t>
  </si>
  <si>
    <t>ESCUELAS VERDES</t>
  </si>
  <si>
    <t xml:space="preserve">Proyectos Ambientales Educativos-PRAES ajustados en IEO. </t>
  </si>
  <si>
    <t>CIUDAD -ESCUELA COMPROMISO DE TODOS Y PARA TODOS</t>
  </si>
  <si>
    <t xml:space="preserve">No. De IEO con el Programa Escuela para Padres Fortalecido. </t>
  </si>
  <si>
    <t>FORTALECIMIENTO DE LA GESTIÓN DEL SISTEMA EDUCATIVO DISTRITAL DE CARTAGENA</t>
  </si>
  <si>
    <t xml:space="preserve">Alcanzar el 70% de satisfacción de los usuarios del sector Educativo oficial del Distrito de Cartagena.  </t>
  </si>
  <si>
    <t xml:space="preserve">% Satisfacción de los usuarios del sector Educativo oficial del Distrito de Cartagena.  </t>
  </si>
  <si>
    <t xml:space="preserve">FORTALECIMIENTO DE LA GESTIÓN Y CONSTRUCCIÓN DE SINERGIAS POR LA EDUCACIÓN </t>
  </si>
  <si>
    <t xml:space="preserve">Diseño y desarrollo del modelo de medición del nivel de satisfacción de los usuarios del servicio educativo oficial del DC. </t>
  </si>
  <si>
    <t xml:space="preserve">Aumentar el nivel de Eficacia del SGC al 80%. </t>
  </si>
  <si>
    <t xml:space="preserve">Nivel de Eficacia del SGC. </t>
  </si>
  <si>
    <t xml:space="preserve">Diseño e implementación de la nueva Estrategia Institucional de la SED. </t>
  </si>
  <si>
    <t xml:space="preserve">Lograr  30 IEO con procesos estandarizados </t>
  </si>
  <si>
    <t xml:space="preserve">IEO con procesos estandarizados </t>
  </si>
  <si>
    <t xml:space="preserve">Capacitación de funcionarios administrativos en carrera administrativa. </t>
  </si>
  <si>
    <t xml:space="preserve">Actualización de SGC de la SED (ISO 9001:2008 a 9001:2015). </t>
  </si>
  <si>
    <t xml:space="preserve">No de las metas de Indicadores SGC cumplidos. </t>
  </si>
  <si>
    <t>ESTANDARIZACIÓN DE PROCESOS EN INSTITUCIONES EDUCATIVAS OFICIALES</t>
  </si>
  <si>
    <t xml:space="preserve">Modelo de gestión de procesos estandarizados conforme a la Norma ISO 9001:2015. </t>
  </si>
  <si>
    <t xml:space="preserve">IEO con procesos estandarizados implementados.  </t>
  </si>
  <si>
    <t>EDUCACIÓN SUPERIOR: JÓVENES FORMADOS CON CALIDAD</t>
  </si>
  <si>
    <t xml:space="preserve">Alcanzar que el 15% de estudiantes egresados del sistema educativo oficial, sean estudiantes  universitarios  financiados por el Distrito. </t>
  </si>
  <si>
    <t xml:space="preserve">% de estudiantes  universitarios, egresados del sistema educativo oficial financiados por el Distrito. </t>
  </si>
  <si>
    <t>FORTALECIMIENTO DE LA EDUCACIÓN MEDIA TÉCNICA Y SU ARTICULACIÓN CON LA EDUCACIÓN SUPERIOR A TRAVÉS DE LA CADENA DE FORMACIÓN</t>
  </si>
  <si>
    <t xml:space="preserve">Número de Nodos Educativos de Media Técnica ampliados. </t>
  </si>
  <si>
    <t xml:space="preserve">No de Instituciones Educativas Oficiales con Educacion Media Tecnica con ambientes y materiales de aprendizajes fortalecidas. </t>
  </si>
  <si>
    <t xml:space="preserve">N° de Instituciones Educativas con Educacion Media Tecnica articuladas a la Educacion Superior. </t>
  </si>
  <si>
    <t>FORTALECIMIENTO DE LA INSTITUCIÓN TECNOLÓGICA COLEGIO MAYOR DE BOLÍVAR</t>
  </si>
  <si>
    <t xml:space="preserve">No de Programas en la Institucion Tecnologica Colegio Mayor de Bolivar con registro calificado.  </t>
  </si>
  <si>
    <t>BECAS A LA EXCELENCIA</t>
  </si>
  <si>
    <t xml:space="preserve">Número de egresados del sistema educativo oficial becados en estudios superiores. </t>
  </si>
  <si>
    <t xml:space="preserve">No de beneficiarios del  proyecto Ser Pilo Va Cartagena. </t>
  </si>
  <si>
    <t>ASESORÍA Y ACOMPAÑAMIENTO TÉCNICO PARA EL FORTALECIMIENTO DE LAS INSTITUCIONES DE FORMACIÓN PARA EL TRABAJO Y DESARROLLO HUMANO – IFTDH-</t>
  </si>
  <si>
    <t xml:space="preserve">N° de IFTDH con acompañamiento técnico. </t>
  </si>
  <si>
    <t>EDUCAR PARA UN NUEVO PAÍS</t>
  </si>
  <si>
    <t xml:space="preserve">Lograr  que el 80% de IEO desarrollen actividades para la construcción de paz. </t>
  </si>
  <si>
    <t xml:space="preserve">% de IEO desarrollando actividades para la construcción de paz. </t>
  </si>
  <si>
    <t>DE JÓVENES EN RIESGO A JÓVENES CON FUTURO</t>
  </si>
  <si>
    <t xml:space="preserve">No de Jóvenes en riesgo beneficiados con programas de educación para el trabajo y desarrollo humano.  </t>
  </si>
  <si>
    <t>IMPLEMENTACIÓN DE LA CÁTEDRA CARTAGENA EN PAZ</t>
  </si>
  <si>
    <t xml:space="preserve">Docentes formados en justicia, reconciliación y tolerancia.  </t>
  </si>
  <si>
    <t xml:space="preserve">No de IEO con  la Cátedra Cartagena en Paz implementada. </t>
  </si>
  <si>
    <t>SGR 2016</t>
  </si>
  <si>
    <t>SGR 2017</t>
  </si>
  <si>
    <t>Lesbia Beleño</t>
  </si>
  <si>
    <t>Cecilia Morales</t>
  </si>
  <si>
    <t>Oviris Caraballo</t>
  </si>
  <si>
    <t>Nini Torres</t>
  </si>
  <si>
    <t>Guillermo Peña</t>
  </si>
  <si>
    <t>Juan Carlos Urango</t>
  </si>
  <si>
    <t>Mayiris Gomez</t>
  </si>
  <si>
    <t>Claudia Chica</t>
  </si>
  <si>
    <t>Romix Raad</t>
  </si>
  <si>
    <t>Livis Barrios</t>
  </si>
  <si>
    <t>Olga Maldonado</t>
  </si>
  <si>
    <t>Edelmira Salgado</t>
  </si>
  <si>
    <t>Karen Britto</t>
  </si>
  <si>
    <t>Carmen Casseres</t>
  </si>
  <si>
    <t>Miguel Obeso</t>
  </si>
  <si>
    <t>Marcela Meza</t>
  </si>
  <si>
    <t>Ana Arnedo</t>
  </si>
  <si>
    <t>Marlene Sierra</t>
  </si>
  <si>
    <t>German Barrios</t>
  </si>
  <si>
    <t>Katherine Gonzalez</t>
  </si>
  <si>
    <t>SGR 2018</t>
  </si>
  <si>
    <t>SGR 2019</t>
  </si>
  <si>
    <t xml:space="preserve">80 Hogares Infantiles  y CDI intervenidos en el componente educativo.        </t>
  </si>
  <si>
    <t xml:space="preserve">14500 Estudiantes Matriculados en Preescolar  (Transición) </t>
  </si>
  <si>
    <t xml:space="preserve">100 Aulas Escolares nuevas construidas  para Preescolar </t>
  </si>
  <si>
    <t xml:space="preserve">21700 estudiantes de educación media dentro del sistema educativo oficial </t>
  </si>
  <si>
    <t xml:space="preserve">4000 Estudiantes transportados anualmente a sus sedes de IEO para garantizarles educación.  </t>
  </si>
  <si>
    <t xml:space="preserve">5000 estudiantes atendidos con modelos flexibles. </t>
  </si>
  <si>
    <t xml:space="preserve">Un Sistema de Información para la prevención de la deserción implementado. </t>
  </si>
  <si>
    <t xml:space="preserve">4200 Estudiantes con necesidades educativas especiales Atendidos por el sistema educativo oficial   </t>
  </si>
  <si>
    <t xml:space="preserve">5 equipos interdisciplinarios para apoyo a las IEO en la atención de Estudiantes con NEE </t>
  </si>
  <si>
    <t xml:space="preserve">800 docentes cualificados en atención de estudiantes con  NEE. </t>
  </si>
  <si>
    <t xml:space="preserve">12000 estudiantes victimas dentro del sistema educativo </t>
  </si>
  <si>
    <t xml:space="preserve">800 jóvenes y adultos atendidos en ciclo Lectivo educativo I (CLEI Nivel 1) </t>
  </si>
  <si>
    <t xml:space="preserve">Un Plan de Infraestructura Educativa formulado </t>
  </si>
  <si>
    <t xml:space="preserve">432  Aulas Nuevas al servicio de la educación en jornada única </t>
  </si>
  <si>
    <t xml:space="preserve">35 Establecimientos Educativos  Oficiales con  Índice Sintético de Calidad Educativa-ISCE en la Media, con nivel al menos igual al ISCE promedio Nacional. </t>
  </si>
  <si>
    <t xml:space="preserve">25 Establecimientos Educativos Oficiales con grado 11° con desempeños alineados en la clasificacion A+ , A  y B </t>
  </si>
  <si>
    <t>Mejorar  Componente Desempeño (ISCE) Básica primaria  a 2,64</t>
  </si>
  <si>
    <t>Mejorar componente Desempeño (ISCE) Básica secundaria a 2,57</t>
  </si>
  <si>
    <t>Mejorar Componente Desempeño (ISCE) Media a 2,71</t>
  </si>
  <si>
    <t xml:space="preserve">104 IEO con semilleros de investigacion implementados </t>
  </si>
  <si>
    <t xml:space="preserve">1700 docentes formados en evaluación por competencias. </t>
  </si>
  <si>
    <t xml:space="preserve">800 docentes formados  en metodología de Investigación para el mejoramiento de la calidad educativa.  </t>
  </si>
  <si>
    <t xml:space="preserve">250 docentes y directivos docentes formados  en especializaciones y/o maestrías.   </t>
  </si>
  <si>
    <t xml:space="preserve">380 directivos docentes cualificados en gestión escolar. </t>
  </si>
  <si>
    <t xml:space="preserve">720 Docentes y directivos docentes con experiencias educativas innovadoras para el mejoramiento de la calidad educativa.  </t>
  </si>
  <si>
    <t xml:space="preserve">60 instituciones educativas con currículos ajustados a la política vigente e implementados.  </t>
  </si>
  <si>
    <t xml:space="preserve">60 Establecimientos Educativos Oficiales  con bajo indice en los indicadores de Calidad y Eficiencia Interna,fortalecidos en la gestión escolar integral. </t>
  </si>
  <si>
    <t>90 IEO con Proyectos Educativos Institucionales resignificados.</t>
  </si>
  <si>
    <t xml:space="preserve">40% de estudiantes de I.E.O. con jornada extendida bilingüe con nivel mínimo  "B1" en las  pruebas saber 11°, según el MCERL </t>
  </si>
  <si>
    <t xml:space="preserve">26 IEO  etnoeducativas con PEI ajustados y actualizados. </t>
  </si>
  <si>
    <t xml:space="preserve">52  IEO que desarrollan la Cátedra de Estudios Afrocolombianos. </t>
  </si>
  <si>
    <t xml:space="preserve">9 niños por Terminal. </t>
  </si>
  <si>
    <t xml:space="preserve">4064 Docentes y directivos docentes formados en uso y apropiación de TIC. </t>
  </si>
  <si>
    <t xml:space="preserve">300 Docentes que aplican las TIC en proceso Enseñanza y Aprendizaje.  </t>
  </si>
  <si>
    <t xml:space="preserve">3000 usuarios que interactuan con la Plataforma Academica Colombia Evaluadora. </t>
  </si>
  <si>
    <t xml:space="preserve">Un Nodo social humanístico implementado.  </t>
  </si>
  <si>
    <t xml:space="preserve">15 Instituciones Educativas Oficiales beneficiadas con el  Nodo social humanístico implementado.   </t>
  </si>
  <si>
    <t xml:space="preserve">60 Proyectos Ambientales Educativos-PRAES ajustados en IEO. </t>
  </si>
  <si>
    <t xml:space="preserve">60  IEO con el Programa Escuela para Padres Fortalecido. </t>
  </si>
  <si>
    <t xml:space="preserve">Capacitación de 300 funcionarios administrativos en carrera administrativa. </t>
  </si>
  <si>
    <t xml:space="preserve">24 metas de Indicadores SGC cumplidos. </t>
  </si>
  <si>
    <t xml:space="preserve">30 IEO con procesos estandarizados implementados.  </t>
  </si>
  <si>
    <t xml:space="preserve">7 Nodos Educativos de Media Técnica ampliados. </t>
  </si>
  <si>
    <t xml:space="preserve">13  Instituciones Educativas Oficiales con Educacion Media Tecnica con ambientes y materiales de aprendizajes fortalecidas. </t>
  </si>
  <si>
    <t xml:space="preserve">15  Instituciones Educativas con Educacion Media Tecnica articuladas a la Educacion Superior. </t>
  </si>
  <si>
    <t xml:space="preserve">28  Programas en la Institucion Tecnologica Colegio Mayor de Bolivar con registro calificado.  </t>
  </si>
  <si>
    <t xml:space="preserve">12503 egresados del sistema educativo oficial becados en estudios superiores. </t>
  </si>
  <si>
    <t xml:space="preserve">80 beneficiarios del  proyecto Ser Pilo Va Cartagena. </t>
  </si>
  <si>
    <t xml:space="preserve">84  IFTDH con acompañamiento técnico. </t>
  </si>
  <si>
    <t xml:space="preserve">500 Jóvenes en riesgo beneficiados con programas de educación para el trabajo y desarrollo humano.  </t>
  </si>
  <si>
    <t xml:space="preserve">1500 Docentes formados en justicia, reconciliación y tolerancia.  </t>
  </si>
  <si>
    <t xml:space="preserve">104  IEO con  la Cátedra Cartagena en Paz implementada. </t>
  </si>
  <si>
    <t>Tiempo promedio de días de respuesta a peticiones quejas y reclamos</t>
  </si>
  <si>
    <t xml:space="preserve">Actualización de SGC  en 8 IEO certificadas (ISO 9001:2008 a 9001:2015). </t>
  </si>
  <si>
    <t xml:space="preserve">Sistema de Inspección y Vigilancia de Hogares Infantiles  y de CDI, Fortalecido y Ejercido en el componente educativo.        </t>
  </si>
  <si>
    <t xml:space="preserve">77000 Estudiantes atendidos anualmente con el PAE </t>
  </si>
  <si>
    <t xml:space="preserve">Número de Estudiantes atendidos anualmente con el PAE </t>
  </si>
  <si>
    <t xml:space="preserve">ND  </t>
  </si>
  <si>
    <t>N° De lEO con Programas de emprendimiento y empresarismo desarrollados</t>
  </si>
  <si>
    <t>0.4</t>
  </si>
  <si>
    <t>0.6</t>
  </si>
  <si>
    <t xml:space="preserve">Número de IEO certificadas con Actualización de SGC (ISO 9001:2008 a 9001:2015). </t>
  </si>
  <si>
    <t>0.15</t>
  </si>
  <si>
    <t>0.45</t>
  </si>
  <si>
    <t>0.3</t>
  </si>
  <si>
    <t>0.2</t>
  </si>
  <si>
    <t>0.5</t>
  </si>
  <si>
    <t>52 de las  lEO con Programas de emprendimiento y empresarismo desarrollados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</si>
</sst>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&quot;$&quot;\ #,##0"/>
    <numFmt numFmtId="166" formatCode="_-&quot;$&quot;* #,##0_-;\-&quot;$&quot;* #,##0_-;_-&quot;$&quot;* &quot;-&quot;??_-;_-@_-"/>
    <numFmt numFmtId="167" formatCode="_-&quot;$&quot;* #,##0.0_-;\-&quot;$&quot;* #,##0.0_-;_-&quot;$&quot;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2" fillId="0" borderId="6" xfId="1" applyNumberFormat="1" applyFont="1" applyFill="1" applyBorder="1" applyAlignment="1">
      <alignment vertical="center" wrapText="1" readingOrder="1"/>
    </xf>
    <xf numFmtId="0" fontId="2" fillId="0" borderId="1" xfId="0" applyFont="1" applyFill="1" applyBorder="1" applyAlignment="1">
      <alignment vertical="center" wrapText="1"/>
    </xf>
    <xf numFmtId="166" fontId="2" fillId="0" borderId="6" xfId="0" applyNumberFormat="1" applyFont="1" applyFill="1" applyBorder="1" applyAlignment="1">
      <alignment horizontal="center" vertical="center" wrapText="1" readingOrder="1"/>
    </xf>
    <xf numFmtId="166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vertical="center" wrapText="1" readingOrder="1"/>
    </xf>
    <xf numFmtId="0" fontId="2" fillId="0" borderId="3" xfId="0" applyFont="1" applyFill="1" applyBorder="1" applyAlignment="1">
      <alignment horizontal="left" vertical="center" wrapText="1" readingOrder="1"/>
    </xf>
    <xf numFmtId="165" fontId="2" fillId="0" borderId="1" xfId="0" applyNumberFormat="1" applyFont="1" applyFill="1" applyBorder="1" applyAlignment="1">
      <alignment vertical="center" wrapText="1"/>
    </xf>
    <xf numFmtId="167" fontId="2" fillId="0" borderId="1" xfId="1" applyNumberFormat="1" applyFont="1" applyFill="1" applyBorder="1" applyAlignment="1">
      <alignment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 readingOrder="1"/>
    </xf>
    <xf numFmtId="1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 readingOrder="1"/>
    </xf>
    <xf numFmtId="0" fontId="2" fillId="0" borderId="6" xfId="0" applyFont="1" applyFill="1" applyBorder="1" applyAlignment="1">
      <alignment vertical="center" wrapText="1" readingOrder="1"/>
    </xf>
    <xf numFmtId="0" fontId="2" fillId="0" borderId="1" xfId="0" applyFont="1" applyFill="1" applyBorder="1" applyAlignment="1">
      <alignment horizontal="left" wrapText="1" readingOrder="1"/>
    </xf>
    <xf numFmtId="0" fontId="2" fillId="0" borderId="3" xfId="0" applyFont="1" applyFill="1" applyBorder="1" applyAlignment="1">
      <alignment horizontal="justify" vertical="center" wrapText="1" readingOrder="1"/>
    </xf>
    <xf numFmtId="9" fontId="2" fillId="0" borderId="1" xfId="0" applyNumberFormat="1" applyFont="1" applyFill="1" applyBorder="1" applyAlignment="1">
      <alignment horizontal="center" vertical="center" wrapText="1" readingOrder="1"/>
    </xf>
    <xf numFmtId="9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left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17" xfId="0" applyFont="1" applyFill="1" applyBorder="1" applyAlignment="1">
      <alignment horizontal="left" vertical="center" wrapText="1" readingOrder="1"/>
    </xf>
    <xf numFmtId="0" fontId="2" fillId="0" borderId="13" xfId="0" applyFont="1" applyFill="1" applyBorder="1" applyAlignment="1">
      <alignment horizontal="left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3" fillId="5" borderId="1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justify" vertical="center" wrapText="1" readingOrder="1"/>
    </xf>
    <xf numFmtId="1" fontId="3" fillId="5" borderId="7" xfId="0" applyNumberFormat="1" applyFont="1" applyFill="1" applyBorder="1" applyAlignment="1">
      <alignment horizontal="center" vertical="center" wrapText="1" readingOrder="1"/>
    </xf>
    <xf numFmtId="1" fontId="3" fillId="5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2" fillId="9" borderId="3" xfId="0" applyFont="1" applyFill="1" applyBorder="1" applyAlignment="1">
      <alignment horizontal="left" vertical="center" wrapText="1" readingOrder="1"/>
    </xf>
    <xf numFmtId="2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justify" vertical="center" wrapText="1" readingOrder="1"/>
    </xf>
    <xf numFmtId="166" fontId="2" fillId="0" borderId="2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center" vertical="center" wrapText="1" readingOrder="1"/>
    </xf>
    <xf numFmtId="166" fontId="2" fillId="0" borderId="5" xfId="1" applyNumberFormat="1" applyFont="1" applyFill="1" applyBorder="1" applyAlignment="1">
      <alignment horizontal="center" vertical="center" wrapText="1" readingOrder="1"/>
    </xf>
    <xf numFmtId="166" fontId="2" fillId="0" borderId="2" xfId="1" applyNumberFormat="1" applyFont="1" applyFill="1" applyBorder="1" applyAlignment="1">
      <alignment vertical="center" wrapText="1"/>
    </xf>
    <xf numFmtId="166" fontId="2" fillId="0" borderId="4" xfId="1" applyNumberFormat="1" applyFont="1" applyFill="1" applyBorder="1" applyAlignment="1">
      <alignment vertical="center" wrapText="1"/>
    </xf>
    <xf numFmtId="166" fontId="2" fillId="0" borderId="5" xfId="1" applyNumberFormat="1" applyFont="1" applyFill="1" applyBorder="1" applyAlignment="1">
      <alignment vertical="center" wrapText="1"/>
    </xf>
    <xf numFmtId="166" fontId="2" fillId="0" borderId="2" xfId="1" applyNumberFormat="1" applyFont="1" applyFill="1" applyBorder="1" applyAlignment="1">
      <alignment vertical="center" wrapText="1" readingOrder="1"/>
    </xf>
    <xf numFmtId="166" fontId="2" fillId="0" borderId="5" xfId="1" applyNumberFormat="1" applyFont="1" applyFill="1" applyBorder="1" applyAlignment="1">
      <alignment vertical="center" wrapText="1" readingOrder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 readingOrder="1"/>
    </xf>
    <xf numFmtId="165" fontId="2" fillId="0" borderId="2" xfId="0" applyNumberFormat="1" applyFont="1" applyFill="1" applyBorder="1" applyAlignment="1">
      <alignment vertical="center" wrapText="1" readingOrder="1"/>
    </xf>
    <xf numFmtId="0" fontId="2" fillId="0" borderId="4" xfId="0" applyFont="1" applyFill="1" applyBorder="1" applyAlignment="1">
      <alignment vertical="center" wrapText="1" readingOrder="1"/>
    </xf>
    <xf numFmtId="0" fontId="2" fillId="0" borderId="5" xfId="0" applyFont="1" applyFill="1" applyBorder="1" applyAlignment="1">
      <alignment vertical="center" wrapText="1" readingOrder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7" fontId="2" fillId="0" borderId="2" xfId="1" applyNumberFormat="1" applyFont="1" applyFill="1" applyBorder="1" applyAlignment="1">
      <alignment vertical="center" wrapText="1"/>
    </xf>
    <xf numFmtId="167" fontId="2" fillId="0" borderId="5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 readingOrder="1"/>
    </xf>
    <xf numFmtId="165" fontId="2" fillId="0" borderId="2" xfId="0" applyNumberFormat="1" applyFont="1" applyFill="1" applyBorder="1" applyAlignment="1">
      <alignment vertical="center" wrapText="1"/>
    </xf>
    <xf numFmtId="166" fontId="2" fillId="0" borderId="4" xfId="1" applyNumberFormat="1" applyFont="1" applyFill="1" applyBorder="1" applyAlignment="1">
      <alignment horizontal="center" vertical="center" wrapText="1" readingOrder="1"/>
    </xf>
    <xf numFmtId="166" fontId="2" fillId="0" borderId="4" xfId="1" applyNumberFormat="1" applyFont="1" applyFill="1" applyBorder="1" applyAlignment="1">
      <alignment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167" fontId="2" fillId="0" borderId="2" xfId="1" applyNumberFormat="1" applyFont="1" applyFill="1" applyBorder="1" applyAlignment="1">
      <alignment horizontal="center" vertical="center" wrapText="1" readingOrder="1"/>
    </xf>
    <xf numFmtId="167" fontId="2" fillId="0" borderId="4" xfId="1" applyNumberFormat="1" applyFont="1" applyFill="1" applyBorder="1" applyAlignment="1">
      <alignment horizontal="center" vertical="center" wrapText="1" readingOrder="1"/>
    </xf>
    <xf numFmtId="167" fontId="2" fillId="0" borderId="5" xfId="1" applyNumberFormat="1" applyFont="1" applyFill="1" applyBorder="1" applyAlignment="1">
      <alignment horizontal="center" vertical="center" wrapText="1" readingOrder="1"/>
    </xf>
    <xf numFmtId="166" fontId="2" fillId="0" borderId="2" xfId="0" applyNumberFormat="1" applyFont="1" applyFill="1" applyBorder="1" applyAlignment="1">
      <alignment vertical="center" wrapText="1" readingOrder="1"/>
    </xf>
    <xf numFmtId="166" fontId="2" fillId="0" borderId="4" xfId="0" applyNumberFormat="1" applyFont="1" applyFill="1" applyBorder="1" applyAlignment="1">
      <alignment vertical="center" wrapText="1" readingOrder="1"/>
    </xf>
    <xf numFmtId="166" fontId="2" fillId="0" borderId="5" xfId="0" applyNumberFormat="1" applyFont="1" applyFill="1" applyBorder="1" applyAlignment="1">
      <alignment vertic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topLeftCell="D1" workbookViewId="0">
      <selection activeCell="J10" sqref="J10"/>
    </sheetView>
  </sheetViews>
  <sheetFormatPr baseColWidth="10" defaultRowHeight="11.25"/>
  <cols>
    <col min="1" max="3" width="11.42578125" style="1"/>
    <col min="4" max="4" width="20.5703125" style="1" customWidth="1"/>
    <col min="5" max="5" width="24" style="1" customWidth="1"/>
    <col min="6" max="6" width="21.42578125" style="1" customWidth="1"/>
    <col min="7" max="7" width="13.28515625" style="1" customWidth="1"/>
    <col min="8" max="8" width="13.5703125" style="1" customWidth="1"/>
    <col min="9" max="9" width="23.140625" style="1" customWidth="1"/>
    <col min="10" max="10" width="28.5703125" style="1" customWidth="1"/>
    <col min="11" max="11" width="30.42578125" style="1" customWidth="1"/>
    <col min="12" max="12" width="8.140625" style="1" customWidth="1"/>
    <col min="13" max="13" width="8.85546875" style="1" customWidth="1"/>
    <col min="14" max="14" width="9" style="1" customWidth="1"/>
    <col min="15" max="15" width="8.5703125" style="1" customWidth="1"/>
    <col min="16" max="16" width="8.28515625" style="1" customWidth="1"/>
    <col min="17" max="17" width="9" style="1" customWidth="1"/>
    <col min="18" max="18" width="8.5703125" style="50" customWidth="1"/>
    <col min="19" max="19" width="7.42578125" style="1" customWidth="1"/>
    <col min="20" max="20" width="9.28515625" style="1" customWidth="1"/>
    <col min="21" max="21" width="13.85546875" style="1" customWidth="1"/>
    <col min="22" max="22" width="13.140625" style="1" bestFit="1" customWidth="1"/>
    <col min="23" max="23" width="12.42578125" style="1" customWidth="1"/>
    <col min="24" max="24" width="12.5703125" style="1" bestFit="1" customWidth="1"/>
    <col min="25" max="25" width="11" style="1" bestFit="1" customWidth="1"/>
    <col min="26" max="27" width="11.42578125" style="1"/>
    <col min="28" max="28" width="11.28515625" style="1" bestFit="1" customWidth="1"/>
    <col min="29" max="34" width="11.42578125" style="1"/>
    <col min="35" max="35" width="13.85546875" style="1" bestFit="1" customWidth="1"/>
    <col min="36" max="36" width="12.28515625" style="1" bestFit="1" customWidth="1"/>
    <col min="37" max="37" width="13.85546875" style="1" bestFit="1" customWidth="1"/>
    <col min="38" max="38" width="11.7109375" style="1" bestFit="1" customWidth="1"/>
    <col min="39" max="39" width="13.85546875" style="1" bestFit="1" customWidth="1"/>
    <col min="40" max="40" width="11.5703125" style="1" bestFit="1" customWidth="1"/>
    <col min="41" max="41" width="10.140625" style="1" customWidth="1"/>
    <col min="42" max="42" width="11.42578125" style="1"/>
    <col min="43" max="43" width="12.28515625" style="1" bestFit="1" customWidth="1"/>
    <col min="44" max="44" width="13.85546875" style="1" bestFit="1" customWidth="1"/>
    <col min="45" max="45" width="11.7109375" style="1" bestFit="1" customWidth="1"/>
    <col min="46" max="46" width="13.85546875" style="1" bestFit="1" customWidth="1"/>
    <col min="47" max="47" width="11.5703125" style="1" bestFit="1" customWidth="1"/>
    <col min="48" max="48" width="9.85546875" style="1" customWidth="1"/>
    <col min="49" max="16384" width="11.42578125" style="1"/>
  </cols>
  <sheetData>
    <row r="1" spans="1:49" s="8" customFormat="1" ht="33.75">
      <c r="A1" s="2" t="s">
        <v>40</v>
      </c>
      <c r="B1" s="2" t="s">
        <v>41</v>
      </c>
      <c r="C1" s="2" t="s">
        <v>42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3" t="s">
        <v>43</v>
      </c>
      <c r="J1" s="3" t="s">
        <v>5</v>
      </c>
      <c r="K1" s="3" t="s">
        <v>6</v>
      </c>
      <c r="L1" s="3" t="s">
        <v>7</v>
      </c>
      <c r="M1" s="3" t="s">
        <v>8</v>
      </c>
      <c r="N1" s="6" t="s">
        <v>12</v>
      </c>
      <c r="O1" s="6" t="s">
        <v>13</v>
      </c>
      <c r="P1" s="6" t="s">
        <v>14</v>
      </c>
      <c r="Q1" s="6" t="s">
        <v>15</v>
      </c>
      <c r="R1" s="49" t="s">
        <v>9</v>
      </c>
      <c r="S1" s="4" t="s">
        <v>10</v>
      </c>
      <c r="T1" s="4" t="s">
        <v>44</v>
      </c>
      <c r="U1" s="5" t="s">
        <v>11</v>
      </c>
      <c r="V1" s="6" t="s">
        <v>16</v>
      </c>
      <c r="W1" s="6" t="s">
        <v>17</v>
      </c>
      <c r="X1" s="6" t="s">
        <v>18</v>
      </c>
      <c r="Y1" s="6" t="s">
        <v>19</v>
      </c>
      <c r="Z1" s="6" t="s">
        <v>20</v>
      </c>
      <c r="AA1" s="6" t="s">
        <v>158</v>
      </c>
      <c r="AB1" s="6" t="s">
        <v>21</v>
      </c>
      <c r="AC1" s="7" t="s">
        <v>22</v>
      </c>
      <c r="AD1" s="7" t="s">
        <v>23</v>
      </c>
      <c r="AE1" s="7" t="s">
        <v>24</v>
      </c>
      <c r="AF1" s="7" t="s">
        <v>25</v>
      </c>
      <c r="AG1" s="7" t="s">
        <v>26</v>
      </c>
      <c r="AH1" s="7" t="s">
        <v>159</v>
      </c>
      <c r="AI1" s="7" t="s">
        <v>27</v>
      </c>
      <c r="AJ1" s="6" t="s">
        <v>28</v>
      </c>
      <c r="AK1" s="6" t="s">
        <v>29</v>
      </c>
      <c r="AL1" s="6" t="s">
        <v>30</v>
      </c>
      <c r="AM1" s="6" t="s">
        <v>31</v>
      </c>
      <c r="AN1" s="6" t="s">
        <v>32</v>
      </c>
      <c r="AO1" s="6" t="s">
        <v>180</v>
      </c>
      <c r="AP1" s="6" t="s">
        <v>33</v>
      </c>
      <c r="AQ1" s="7" t="s">
        <v>34</v>
      </c>
      <c r="AR1" s="7" t="s">
        <v>35</v>
      </c>
      <c r="AS1" s="7" t="s">
        <v>36</v>
      </c>
      <c r="AT1" s="7" t="s">
        <v>37</v>
      </c>
      <c r="AU1" s="7" t="s">
        <v>38</v>
      </c>
      <c r="AV1" s="7" t="s">
        <v>181</v>
      </c>
      <c r="AW1" s="7" t="s">
        <v>39</v>
      </c>
    </row>
    <row r="2" spans="1:49" s="22" customFormat="1" ht="33.75">
      <c r="D2" s="83" t="s">
        <v>45</v>
      </c>
      <c r="E2" s="24" t="s">
        <v>46</v>
      </c>
      <c r="F2" s="24" t="s">
        <v>47</v>
      </c>
      <c r="G2" s="25" t="s">
        <v>48</v>
      </c>
      <c r="H2" s="25">
        <v>0.74</v>
      </c>
      <c r="I2" s="93" t="s">
        <v>49</v>
      </c>
      <c r="J2" s="19" t="s">
        <v>236</v>
      </c>
      <c r="K2" s="19" t="s">
        <v>50</v>
      </c>
      <c r="L2" s="26">
        <v>0</v>
      </c>
      <c r="M2" s="26">
        <v>1</v>
      </c>
      <c r="N2" s="9">
        <v>0</v>
      </c>
      <c r="O2" s="53" t="s">
        <v>244</v>
      </c>
      <c r="P2" s="53" t="s">
        <v>241</v>
      </c>
      <c r="Q2" s="53" t="s">
        <v>245</v>
      </c>
      <c r="R2" s="45"/>
      <c r="S2" s="27"/>
      <c r="T2" s="27"/>
      <c r="U2" s="28" t="s">
        <v>162</v>
      </c>
      <c r="V2" s="101">
        <v>0</v>
      </c>
      <c r="W2" s="101">
        <v>0</v>
      </c>
      <c r="X2" s="101">
        <v>0</v>
      </c>
      <c r="Y2" s="101">
        <v>0</v>
      </c>
      <c r="Z2" s="101">
        <v>0</v>
      </c>
      <c r="AA2" s="101">
        <v>0</v>
      </c>
      <c r="AB2" s="98">
        <v>0</v>
      </c>
      <c r="AC2" s="70">
        <v>0</v>
      </c>
      <c r="AD2" s="59">
        <v>1499999.9990000001</v>
      </c>
      <c r="AE2" s="70">
        <v>0</v>
      </c>
      <c r="AF2" s="59">
        <v>1E-3</v>
      </c>
      <c r="AG2" s="70">
        <v>0</v>
      </c>
      <c r="AH2" s="70">
        <v>0</v>
      </c>
      <c r="AI2" s="98">
        <v>1500000</v>
      </c>
      <c r="AJ2" s="64">
        <v>0</v>
      </c>
      <c r="AK2" s="64">
        <v>1544999.9989700001</v>
      </c>
      <c r="AL2" s="64">
        <v>0</v>
      </c>
      <c r="AM2" s="64">
        <v>1.0300000000000001E-3</v>
      </c>
      <c r="AN2" s="64">
        <v>0</v>
      </c>
      <c r="AO2" s="64">
        <v>0</v>
      </c>
      <c r="AP2" s="98">
        <v>1545000</v>
      </c>
      <c r="AQ2" s="64">
        <v>0</v>
      </c>
      <c r="AR2" s="64">
        <v>1591349.9989391002</v>
      </c>
      <c r="AS2" s="64">
        <v>0</v>
      </c>
      <c r="AT2" s="64">
        <v>1.0609E-3</v>
      </c>
      <c r="AU2" s="64">
        <v>0</v>
      </c>
      <c r="AV2" s="64">
        <v>0</v>
      </c>
      <c r="AW2" s="98">
        <v>1591350.0000000002</v>
      </c>
    </row>
    <row r="3" spans="1:49" s="22" customFormat="1" ht="33.75">
      <c r="D3" s="83"/>
      <c r="E3" s="29" t="s">
        <v>51</v>
      </c>
      <c r="F3" s="29" t="s">
        <v>52</v>
      </c>
      <c r="G3" s="25">
        <v>0.5544</v>
      </c>
      <c r="H3" s="25">
        <v>0.59</v>
      </c>
      <c r="I3" s="73"/>
      <c r="J3" s="19" t="s">
        <v>182</v>
      </c>
      <c r="K3" s="19" t="s">
        <v>53</v>
      </c>
      <c r="L3" s="26">
        <v>0</v>
      </c>
      <c r="M3" s="26">
        <v>80</v>
      </c>
      <c r="N3" s="46">
        <v>5</v>
      </c>
      <c r="O3" s="46">
        <f>25-5</f>
        <v>20</v>
      </c>
      <c r="P3" s="46">
        <f>40-25</f>
        <v>15</v>
      </c>
      <c r="Q3" s="46">
        <f>80-40</f>
        <v>40</v>
      </c>
      <c r="R3" s="45"/>
      <c r="S3" s="27"/>
      <c r="T3" s="27"/>
      <c r="U3" s="28" t="s">
        <v>161</v>
      </c>
      <c r="V3" s="102">
        <v>0</v>
      </c>
      <c r="W3" s="102">
        <v>0</v>
      </c>
      <c r="X3" s="102">
        <v>0</v>
      </c>
      <c r="Y3" s="102">
        <v>0</v>
      </c>
      <c r="Z3" s="102">
        <v>0</v>
      </c>
      <c r="AA3" s="102">
        <v>0</v>
      </c>
      <c r="AB3" s="99">
        <v>0</v>
      </c>
      <c r="AC3" s="97">
        <v>0</v>
      </c>
      <c r="AD3" s="95">
        <v>0</v>
      </c>
      <c r="AE3" s="97">
        <v>0</v>
      </c>
      <c r="AF3" s="95">
        <v>0</v>
      </c>
      <c r="AG3" s="97">
        <v>0</v>
      </c>
      <c r="AH3" s="97">
        <v>0</v>
      </c>
      <c r="AI3" s="99">
        <v>0</v>
      </c>
      <c r="AJ3" s="96"/>
      <c r="AK3" s="96"/>
      <c r="AL3" s="96"/>
      <c r="AM3" s="96"/>
      <c r="AN3" s="96"/>
      <c r="AO3" s="96"/>
      <c r="AP3" s="99">
        <v>0</v>
      </c>
      <c r="AQ3" s="96"/>
      <c r="AR3" s="96"/>
      <c r="AS3" s="96"/>
      <c r="AT3" s="96"/>
      <c r="AU3" s="96"/>
      <c r="AV3" s="96"/>
      <c r="AW3" s="99">
        <v>0</v>
      </c>
    </row>
    <row r="4" spans="1:49" s="22" customFormat="1" ht="32.25" customHeight="1">
      <c r="D4" s="83"/>
      <c r="E4" s="29" t="s">
        <v>54</v>
      </c>
      <c r="F4" s="29" t="s">
        <v>55</v>
      </c>
      <c r="G4" s="25">
        <v>4.9500000000000002E-2</v>
      </c>
      <c r="H4" s="25">
        <v>3.6999999999999998E-2</v>
      </c>
      <c r="I4" s="73"/>
      <c r="J4" s="19" t="s">
        <v>183</v>
      </c>
      <c r="K4" s="19" t="s">
        <v>56</v>
      </c>
      <c r="L4" s="26">
        <v>12850</v>
      </c>
      <c r="M4" s="26">
        <v>14500</v>
      </c>
      <c r="N4" s="9">
        <v>13000</v>
      </c>
      <c r="O4" s="9">
        <v>13200</v>
      </c>
      <c r="P4" s="9">
        <v>13400</v>
      </c>
      <c r="Q4" s="9">
        <v>14500</v>
      </c>
      <c r="R4" s="45"/>
      <c r="S4" s="27"/>
      <c r="T4" s="27"/>
      <c r="U4" s="28" t="s">
        <v>163</v>
      </c>
      <c r="V4" s="102">
        <v>0</v>
      </c>
      <c r="W4" s="102">
        <v>0</v>
      </c>
      <c r="X4" s="102">
        <v>0</v>
      </c>
      <c r="Y4" s="102">
        <v>0</v>
      </c>
      <c r="Z4" s="102">
        <v>0</v>
      </c>
      <c r="AA4" s="102">
        <v>0</v>
      </c>
      <c r="AB4" s="99">
        <v>0</v>
      </c>
      <c r="AC4" s="97">
        <v>0</v>
      </c>
      <c r="AD4" s="95">
        <v>0</v>
      </c>
      <c r="AE4" s="97">
        <v>0</v>
      </c>
      <c r="AF4" s="95">
        <v>0</v>
      </c>
      <c r="AG4" s="97">
        <v>0</v>
      </c>
      <c r="AH4" s="97">
        <v>0</v>
      </c>
      <c r="AI4" s="99">
        <v>0</v>
      </c>
      <c r="AJ4" s="96"/>
      <c r="AK4" s="96"/>
      <c r="AL4" s="96"/>
      <c r="AM4" s="96"/>
      <c r="AN4" s="96"/>
      <c r="AO4" s="96"/>
      <c r="AP4" s="99">
        <v>0</v>
      </c>
      <c r="AQ4" s="96"/>
      <c r="AR4" s="96"/>
      <c r="AS4" s="96"/>
      <c r="AT4" s="96"/>
      <c r="AU4" s="96"/>
      <c r="AV4" s="96"/>
      <c r="AW4" s="99">
        <v>0</v>
      </c>
    </row>
    <row r="5" spans="1:49" s="22" customFormat="1" ht="22.5">
      <c r="D5" s="83"/>
      <c r="E5" s="29" t="s">
        <v>57</v>
      </c>
      <c r="F5" s="29" t="s">
        <v>58</v>
      </c>
      <c r="G5" s="25">
        <v>2.7300000000000001E-2</v>
      </c>
      <c r="H5" s="25">
        <v>1.4999999999999999E-2</v>
      </c>
      <c r="I5" s="74"/>
      <c r="J5" s="19" t="s">
        <v>184</v>
      </c>
      <c r="K5" s="19" t="s">
        <v>59</v>
      </c>
      <c r="L5" s="26">
        <v>0</v>
      </c>
      <c r="M5" s="26">
        <v>100</v>
      </c>
      <c r="N5" s="46">
        <v>10</v>
      </c>
      <c r="O5" s="46">
        <f>30-10</f>
        <v>20</v>
      </c>
      <c r="P5" s="46">
        <f>60-30</f>
        <v>30</v>
      </c>
      <c r="Q5" s="46">
        <f>100-60</f>
        <v>40</v>
      </c>
      <c r="R5" s="45"/>
      <c r="S5" s="27"/>
      <c r="T5" s="27"/>
      <c r="U5" s="28" t="s">
        <v>164</v>
      </c>
      <c r="V5" s="103">
        <v>0</v>
      </c>
      <c r="W5" s="103">
        <v>0</v>
      </c>
      <c r="X5" s="103">
        <v>0</v>
      </c>
      <c r="Y5" s="103">
        <v>0</v>
      </c>
      <c r="Z5" s="103">
        <v>0</v>
      </c>
      <c r="AA5" s="103">
        <v>0</v>
      </c>
      <c r="AB5" s="100">
        <v>0</v>
      </c>
      <c r="AC5" s="71">
        <v>0</v>
      </c>
      <c r="AD5" s="60">
        <v>0</v>
      </c>
      <c r="AE5" s="71">
        <v>0</v>
      </c>
      <c r="AF5" s="60">
        <v>0</v>
      </c>
      <c r="AG5" s="71">
        <v>0</v>
      </c>
      <c r="AH5" s="71">
        <v>0</v>
      </c>
      <c r="AI5" s="100">
        <v>0</v>
      </c>
      <c r="AJ5" s="65"/>
      <c r="AK5" s="65"/>
      <c r="AL5" s="65"/>
      <c r="AM5" s="65"/>
      <c r="AN5" s="65"/>
      <c r="AO5" s="65"/>
      <c r="AP5" s="100">
        <v>0</v>
      </c>
      <c r="AQ5" s="65"/>
      <c r="AR5" s="65"/>
      <c r="AS5" s="65"/>
      <c r="AT5" s="65"/>
      <c r="AU5" s="65"/>
      <c r="AV5" s="65"/>
      <c r="AW5" s="100">
        <v>0</v>
      </c>
    </row>
    <row r="6" spans="1:49" s="22" customFormat="1" ht="22.5">
      <c r="D6" s="83"/>
      <c r="E6" s="82"/>
      <c r="F6" s="82"/>
      <c r="G6" s="82"/>
      <c r="H6" s="82"/>
      <c r="I6" s="30" t="s">
        <v>60</v>
      </c>
      <c r="J6" s="19" t="s">
        <v>185</v>
      </c>
      <c r="K6" s="19" t="s">
        <v>61</v>
      </c>
      <c r="L6" s="26">
        <v>20500</v>
      </c>
      <c r="M6" s="26">
        <v>21700</v>
      </c>
      <c r="N6" s="9">
        <v>20600</v>
      </c>
      <c r="O6" s="9">
        <v>20900</v>
      </c>
      <c r="P6" s="9">
        <v>21300</v>
      </c>
      <c r="Q6" s="9">
        <v>21700</v>
      </c>
      <c r="R6" s="45"/>
      <c r="S6" s="27"/>
      <c r="T6" s="27"/>
      <c r="U6" s="28" t="s">
        <v>165</v>
      </c>
      <c r="V6" s="13">
        <v>1300000</v>
      </c>
      <c r="W6" s="13">
        <v>35934308.913999997</v>
      </c>
      <c r="X6" s="13">
        <v>0</v>
      </c>
      <c r="Y6" s="13">
        <v>279015042.847</v>
      </c>
      <c r="Z6" s="13">
        <v>0</v>
      </c>
      <c r="AA6" s="13">
        <v>0</v>
      </c>
      <c r="AB6" s="15">
        <v>316249351.76099998</v>
      </c>
      <c r="AC6" s="16">
        <v>1600000</v>
      </c>
      <c r="AD6" s="16">
        <v>111600769.100556</v>
      </c>
      <c r="AE6" s="17">
        <v>0</v>
      </c>
      <c r="AF6" s="16">
        <v>301811826.0332706</v>
      </c>
      <c r="AG6" s="17">
        <v>0</v>
      </c>
      <c r="AH6" s="17">
        <v>0</v>
      </c>
      <c r="AI6" s="15">
        <v>415012595.13382661</v>
      </c>
      <c r="AJ6" s="13">
        <v>1648000</v>
      </c>
      <c r="AK6" s="13">
        <v>114948792.17357269</v>
      </c>
      <c r="AL6" s="13">
        <v>0</v>
      </c>
      <c r="AM6" s="13">
        <v>310866180.81426871</v>
      </c>
      <c r="AN6" s="13">
        <v>0</v>
      </c>
      <c r="AO6" s="13">
        <v>0</v>
      </c>
      <c r="AP6" s="15">
        <v>427462972.98784137</v>
      </c>
      <c r="AQ6" s="13">
        <v>1697440</v>
      </c>
      <c r="AR6" s="13">
        <v>118397255.93877988</v>
      </c>
      <c r="AS6" s="13">
        <v>0</v>
      </c>
      <c r="AT6" s="13">
        <v>320192166.23869675</v>
      </c>
      <c r="AU6" s="13">
        <v>0</v>
      </c>
      <c r="AV6" s="13">
        <v>0</v>
      </c>
      <c r="AW6" s="15">
        <v>440286862.17747664</v>
      </c>
    </row>
    <row r="7" spans="1:49" s="22" customFormat="1" ht="22.5">
      <c r="D7" s="83"/>
      <c r="E7" s="82"/>
      <c r="F7" s="82"/>
      <c r="G7" s="82"/>
      <c r="H7" s="82"/>
      <c r="I7" s="93" t="s">
        <v>62</v>
      </c>
      <c r="J7" s="19" t="s">
        <v>237</v>
      </c>
      <c r="K7" s="19" t="s">
        <v>238</v>
      </c>
      <c r="L7" s="26">
        <v>76200</v>
      </c>
      <c r="M7" s="26">
        <v>77000</v>
      </c>
      <c r="N7" s="9">
        <v>76300</v>
      </c>
      <c r="O7" s="9">
        <v>76500</v>
      </c>
      <c r="P7" s="9">
        <v>76750</v>
      </c>
      <c r="Q7" s="9">
        <v>77000</v>
      </c>
      <c r="R7" s="45"/>
      <c r="S7" s="27"/>
      <c r="T7" s="27"/>
      <c r="U7" s="28" t="s">
        <v>166</v>
      </c>
      <c r="V7" s="13">
        <v>1542708.18</v>
      </c>
      <c r="W7" s="13">
        <v>6500000</v>
      </c>
      <c r="X7" s="13">
        <v>2363645.1290000002</v>
      </c>
      <c r="Y7" s="13">
        <v>0</v>
      </c>
      <c r="Z7" s="13">
        <v>0</v>
      </c>
      <c r="AA7" s="13">
        <v>0</v>
      </c>
      <c r="AB7" s="15">
        <v>10406353.309</v>
      </c>
      <c r="AC7" s="40">
        <v>0</v>
      </c>
      <c r="AD7" s="16">
        <v>19000000</v>
      </c>
      <c r="AE7" s="16">
        <v>2260587.1610400002</v>
      </c>
      <c r="AF7" s="16">
        <v>117648.24656</v>
      </c>
      <c r="AG7" s="40">
        <v>0</v>
      </c>
      <c r="AH7" s="40">
        <v>1E-3</v>
      </c>
      <c r="AI7" s="15">
        <v>21378235.408599999</v>
      </c>
      <c r="AJ7" s="18">
        <v>0</v>
      </c>
      <c r="AK7" s="18">
        <v>19570000</v>
      </c>
      <c r="AL7" s="18">
        <v>2328404.7758712</v>
      </c>
      <c r="AM7" s="18">
        <v>121177.69395680001</v>
      </c>
      <c r="AN7" s="18">
        <v>0</v>
      </c>
      <c r="AO7" s="18">
        <v>1.0300000000000001E-3</v>
      </c>
      <c r="AP7" s="15">
        <v>22019582.470858</v>
      </c>
      <c r="AQ7" s="18">
        <v>0</v>
      </c>
      <c r="AR7" s="18">
        <v>20157100</v>
      </c>
      <c r="AS7" s="18">
        <v>2398256.9191473359</v>
      </c>
      <c r="AT7" s="18">
        <v>124813.02477550402</v>
      </c>
      <c r="AU7" s="18">
        <v>0</v>
      </c>
      <c r="AV7" s="18">
        <v>1.0609E-3</v>
      </c>
      <c r="AW7" s="15">
        <v>22680169.944983739</v>
      </c>
    </row>
    <row r="8" spans="1:49" s="22" customFormat="1" ht="33.75">
      <c r="D8" s="83"/>
      <c r="E8" s="82"/>
      <c r="F8" s="82"/>
      <c r="G8" s="82"/>
      <c r="H8" s="82"/>
      <c r="I8" s="73"/>
      <c r="J8" s="19" t="s">
        <v>186</v>
      </c>
      <c r="K8" s="19" t="s">
        <v>63</v>
      </c>
      <c r="L8" s="26">
        <v>3700</v>
      </c>
      <c r="M8" s="26">
        <v>4000</v>
      </c>
      <c r="N8" s="9">
        <v>3750</v>
      </c>
      <c r="O8" s="9">
        <v>3800</v>
      </c>
      <c r="P8" s="9">
        <v>3850</v>
      </c>
      <c r="Q8" s="9">
        <v>4000</v>
      </c>
      <c r="R8" s="45"/>
      <c r="S8" s="27"/>
      <c r="T8" s="27"/>
      <c r="U8" s="28" t="s">
        <v>167</v>
      </c>
      <c r="V8" s="13">
        <v>0</v>
      </c>
      <c r="W8" s="13">
        <v>4000000</v>
      </c>
      <c r="X8" s="13">
        <v>0</v>
      </c>
      <c r="Y8" s="13">
        <v>0</v>
      </c>
      <c r="Z8" s="13">
        <v>0</v>
      </c>
      <c r="AA8" s="13">
        <v>31555.944</v>
      </c>
      <c r="AB8" s="15">
        <v>4031555.9440000001</v>
      </c>
      <c r="AC8" s="40">
        <v>0</v>
      </c>
      <c r="AD8" s="16">
        <v>5500000</v>
      </c>
      <c r="AE8" s="40">
        <v>0</v>
      </c>
      <c r="AF8" s="40">
        <v>0</v>
      </c>
      <c r="AG8" s="40">
        <v>0</v>
      </c>
      <c r="AH8" s="40">
        <v>0</v>
      </c>
      <c r="AI8" s="15">
        <v>5500000</v>
      </c>
      <c r="AJ8" s="18">
        <v>0</v>
      </c>
      <c r="AK8" s="18">
        <v>5665000</v>
      </c>
      <c r="AL8" s="18">
        <v>0</v>
      </c>
      <c r="AM8" s="18">
        <v>0</v>
      </c>
      <c r="AN8" s="18">
        <v>0</v>
      </c>
      <c r="AO8" s="18">
        <v>0</v>
      </c>
      <c r="AP8" s="15">
        <v>5665000</v>
      </c>
      <c r="AQ8" s="18">
        <v>0</v>
      </c>
      <c r="AR8" s="18">
        <v>5834950</v>
      </c>
      <c r="AS8" s="18">
        <v>0</v>
      </c>
      <c r="AT8" s="18">
        <v>0</v>
      </c>
      <c r="AU8" s="18">
        <v>0</v>
      </c>
      <c r="AV8" s="18">
        <v>0</v>
      </c>
      <c r="AW8" s="15">
        <v>5834950</v>
      </c>
    </row>
    <row r="9" spans="1:49" s="22" customFormat="1" ht="22.5">
      <c r="D9" s="83"/>
      <c r="E9" s="82"/>
      <c r="F9" s="82"/>
      <c r="G9" s="82"/>
      <c r="H9" s="82"/>
      <c r="I9" s="73"/>
      <c r="J9" s="19" t="s">
        <v>187</v>
      </c>
      <c r="K9" s="19" t="s">
        <v>64</v>
      </c>
      <c r="L9" s="26">
        <v>2600</v>
      </c>
      <c r="M9" s="26">
        <v>5000</v>
      </c>
      <c r="N9" s="9">
        <v>2700</v>
      </c>
      <c r="O9" s="9">
        <v>2900</v>
      </c>
      <c r="P9" s="9">
        <v>3200</v>
      </c>
      <c r="Q9" s="9">
        <v>5000</v>
      </c>
      <c r="R9" s="45"/>
      <c r="S9" s="27"/>
      <c r="T9" s="27"/>
      <c r="U9" s="28" t="s">
        <v>165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59">
        <v>0</v>
      </c>
      <c r="AC9" s="70">
        <v>0</v>
      </c>
      <c r="AD9" s="59">
        <v>1595696.00104</v>
      </c>
      <c r="AE9" s="59">
        <v>0</v>
      </c>
      <c r="AF9" s="59">
        <v>954303.99896</v>
      </c>
      <c r="AG9" s="70">
        <v>0</v>
      </c>
      <c r="AH9" s="70">
        <v>0</v>
      </c>
      <c r="AI9" s="59">
        <v>2550000</v>
      </c>
      <c r="AJ9" s="59">
        <v>0</v>
      </c>
      <c r="AK9" s="59">
        <v>1643566.8810712001</v>
      </c>
      <c r="AL9" s="59">
        <v>0</v>
      </c>
      <c r="AM9" s="59">
        <v>982933.11892879999</v>
      </c>
      <c r="AN9" s="59">
        <v>0</v>
      </c>
      <c r="AO9" s="59">
        <v>0</v>
      </c>
      <c r="AP9" s="59">
        <v>2626500</v>
      </c>
      <c r="AQ9" s="59">
        <v>0</v>
      </c>
      <c r="AR9" s="59">
        <v>1692873.8875033362</v>
      </c>
      <c r="AS9" s="59">
        <v>0</v>
      </c>
      <c r="AT9" s="59">
        <v>1012421.112496664</v>
      </c>
      <c r="AU9" s="59">
        <v>0</v>
      </c>
      <c r="AV9" s="59">
        <v>0</v>
      </c>
      <c r="AW9" s="59">
        <v>2705295</v>
      </c>
    </row>
    <row r="10" spans="1:49" s="22" customFormat="1" ht="33.75">
      <c r="D10" s="83"/>
      <c r="E10" s="82"/>
      <c r="F10" s="82"/>
      <c r="G10" s="82"/>
      <c r="H10" s="82"/>
      <c r="I10" s="74"/>
      <c r="J10" s="19" t="s">
        <v>188</v>
      </c>
      <c r="K10" s="19" t="s">
        <v>65</v>
      </c>
      <c r="L10" s="26">
        <v>0</v>
      </c>
      <c r="M10" s="26">
        <v>1</v>
      </c>
      <c r="N10" s="9">
        <v>0</v>
      </c>
      <c r="O10" s="48" t="s">
        <v>246</v>
      </c>
      <c r="P10" s="48" t="s">
        <v>246</v>
      </c>
      <c r="Q10" s="48" t="s">
        <v>241</v>
      </c>
      <c r="R10" s="45"/>
      <c r="S10" s="27"/>
      <c r="T10" s="27"/>
      <c r="U10" s="28" t="s">
        <v>165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60">
        <v>0</v>
      </c>
      <c r="AC10" s="71">
        <v>0</v>
      </c>
      <c r="AD10" s="60">
        <v>0</v>
      </c>
      <c r="AE10" s="60">
        <v>0</v>
      </c>
      <c r="AF10" s="60">
        <v>0</v>
      </c>
      <c r="AG10" s="71">
        <v>0</v>
      </c>
      <c r="AH10" s="71">
        <v>0</v>
      </c>
      <c r="AI10" s="60">
        <v>0</v>
      </c>
      <c r="AJ10" s="60"/>
      <c r="AK10" s="60"/>
      <c r="AL10" s="60"/>
      <c r="AM10" s="60"/>
      <c r="AN10" s="60"/>
      <c r="AO10" s="60"/>
      <c r="AP10" s="60">
        <v>0</v>
      </c>
      <c r="AQ10" s="60"/>
      <c r="AR10" s="60"/>
      <c r="AS10" s="60"/>
      <c r="AT10" s="60"/>
      <c r="AU10" s="60"/>
      <c r="AV10" s="60"/>
      <c r="AW10" s="60">
        <v>0</v>
      </c>
    </row>
    <row r="11" spans="1:49" s="22" customFormat="1" ht="33.75">
      <c r="D11" s="83"/>
      <c r="E11" s="82"/>
      <c r="F11" s="82"/>
      <c r="G11" s="82"/>
      <c r="H11" s="82"/>
      <c r="I11" s="75" t="s">
        <v>66</v>
      </c>
      <c r="J11" s="19" t="s">
        <v>189</v>
      </c>
      <c r="K11" s="19" t="s">
        <v>67</v>
      </c>
      <c r="L11" s="26">
        <v>3649</v>
      </c>
      <c r="M11" s="26">
        <v>4200</v>
      </c>
      <c r="N11" s="9">
        <v>3700</v>
      </c>
      <c r="O11" s="9">
        <v>3800</v>
      </c>
      <c r="P11" s="9">
        <v>3950</v>
      </c>
      <c r="Q11" s="9">
        <v>4200</v>
      </c>
      <c r="R11" s="45"/>
      <c r="S11" s="27"/>
      <c r="T11" s="27"/>
      <c r="U11" s="28" t="s">
        <v>168</v>
      </c>
      <c r="V11" s="61">
        <v>0</v>
      </c>
      <c r="W11" s="61">
        <v>804680.74800000002</v>
      </c>
      <c r="X11" s="61">
        <v>0</v>
      </c>
      <c r="Y11" s="61">
        <v>673790</v>
      </c>
      <c r="Z11" s="61">
        <v>0</v>
      </c>
      <c r="AA11" s="61">
        <v>0</v>
      </c>
      <c r="AB11" s="56">
        <v>1478470.7480000001</v>
      </c>
      <c r="AC11" s="66">
        <v>0</v>
      </c>
      <c r="AD11" s="56">
        <v>1500000</v>
      </c>
      <c r="AE11" s="56">
        <v>0</v>
      </c>
      <c r="AF11" s="56">
        <v>792211.81499999994</v>
      </c>
      <c r="AG11" s="66">
        <v>0</v>
      </c>
      <c r="AH11" s="66">
        <v>0</v>
      </c>
      <c r="AI11" s="56">
        <v>2292211.8149999999</v>
      </c>
      <c r="AJ11" s="61">
        <v>0</v>
      </c>
      <c r="AK11" s="61">
        <v>1545000</v>
      </c>
      <c r="AL11" s="61">
        <v>0</v>
      </c>
      <c r="AM11" s="61">
        <v>815978.16944999993</v>
      </c>
      <c r="AN11" s="61">
        <v>0</v>
      </c>
      <c r="AO11" s="61">
        <v>0</v>
      </c>
      <c r="AP11" s="56">
        <v>2360978.1694499999</v>
      </c>
      <c r="AQ11" s="61">
        <v>0</v>
      </c>
      <c r="AR11" s="61">
        <v>1591350</v>
      </c>
      <c r="AS11" s="61">
        <v>0</v>
      </c>
      <c r="AT11" s="61">
        <v>840457.51453349995</v>
      </c>
      <c r="AU11" s="61">
        <v>0</v>
      </c>
      <c r="AV11" s="61">
        <v>0</v>
      </c>
      <c r="AW11" s="56">
        <v>2431807.5145335002</v>
      </c>
    </row>
    <row r="12" spans="1:49" s="22" customFormat="1" ht="33.75">
      <c r="D12" s="83"/>
      <c r="E12" s="82"/>
      <c r="F12" s="82"/>
      <c r="G12" s="82"/>
      <c r="H12" s="82"/>
      <c r="I12" s="76"/>
      <c r="J12" s="19" t="s">
        <v>190</v>
      </c>
      <c r="K12" s="19" t="s">
        <v>68</v>
      </c>
      <c r="L12" s="26">
        <v>0</v>
      </c>
      <c r="M12" s="26">
        <v>5</v>
      </c>
      <c r="N12" s="9">
        <v>0</v>
      </c>
      <c r="O12" s="9">
        <v>0</v>
      </c>
      <c r="P12" s="9">
        <v>5</v>
      </c>
      <c r="Q12" s="9">
        <v>5</v>
      </c>
      <c r="R12" s="45"/>
      <c r="S12" s="27"/>
      <c r="T12" s="27"/>
      <c r="U12" s="28" t="s">
        <v>168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57">
        <v>0</v>
      </c>
      <c r="AC12" s="69">
        <v>0</v>
      </c>
      <c r="AD12" s="57">
        <v>0</v>
      </c>
      <c r="AE12" s="57">
        <v>0</v>
      </c>
      <c r="AF12" s="57">
        <v>0</v>
      </c>
      <c r="AG12" s="69">
        <v>0</v>
      </c>
      <c r="AH12" s="69">
        <v>0</v>
      </c>
      <c r="AI12" s="57">
        <v>0</v>
      </c>
      <c r="AJ12" s="62"/>
      <c r="AK12" s="62"/>
      <c r="AL12" s="62"/>
      <c r="AM12" s="62"/>
      <c r="AN12" s="62"/>
      <c r="AO12" s="62"/>
      <c r="AP12" s="57">
        <v>0</v>
      </c>
      <c r="AQ12" s="62"/>
      <c r="AR12" s="62"/>
      <c r="AS12" s="62"/>
      <c r="AT12" s="62"/>
      <c r="AU12" s="62"/>
      <c r="AV12" s="62"/>
      <c r="AW12" s="57">
        <v>0</v>
      </c>
    </row>
    <row r="13" spans="1:49" s="22" customFormat="1" ht="30" customHeight="1">
      <c r="D13" s="83"/>
      <c r="E13" s="82"/>
      <c r="F13" s="82"/>
      <c r="G13" s="82"/>
      <c r="H13" s="82"/>
      <c r="I13" s="76"/>
      <c r="J13" s="51" t="s">
        <v>191</v>
      </c>
      <c r="K13" s="19" t="s">
        <v>69</v>
      </c>
      <c r="L13" s="26">
        <v>520</v>
      </c>
      <c r="M13" s="26">
        <v>800</v>
      </c>
      <c r="N13" s="9">
        <v>550</v>
      </c>
      <c r="O13" s="9">
        <v>580</v>
      </c>
      <c r="P13" s="9">
        <v>620</v>
      </c>
      <c r="Q13" s="9">
        <v>800</v>
      </c>
      <c r="R13" s="45">
        <f>800-520</f>
        <v>280</v>
      </c>
      <c r="S13" s="27"/>
      <c r="T13" s="27"/>
      <c r="U13" s="28" t="s">
        <v>168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57">
        <v>0</v>
      </c>
      <c r="AC13" s="69">
        <v>0</v>
      </c>
      <c r="AD13" s="57">
        <v>0</v>
      </c>
      <c r="AE13" s="57">
        <v>0</v>
      </c>
      <c r="AF13" s="57">
        <v>0</v>
      </c>
      <c r="AG13" s="69">
        <v>0</v>
      </c>
      <c r="AH13" s="69">
        <v>0</v>
      </c>
      <c r="AI13" s="57">
        <v>0</v>
      </c>
      <c r="AJ13" s="62"/>
      <c r="AK13" s="62"/>
      <c r="AL13" s="62"/>
      <c r="AM13" s="62"/>
      <c r="AN13" s="62"/>
      <c r="AO13" s="62"/>
      <c r="AP13" s="57">
        <v>0</v>
      </c>
      <c r="AQ13" s="62"/>
      <c r="AR13" s="62"/>
      <c r="AS13" s="62"/>
      <c r="AT13" s="62"/>
      <c r="AU13" s="62"/>
      <c r="AV13" s="62"/>
      <c r="AW13" s="57">
        <v>0</v>
      </c>
    </row>
    <row r="14" spans="1:49" s="22" customFormat="1" ht="35.25" customHeight="1">
      <c r="D14" s="83"/>
      <c r="E14" s="82"/>
      <c r="F14" s="82"/>
      <c r="G14" s="82"/>
      <c r="H14" s="82"/>
      <c r="I14" s="77"/>
      <c r="J14" s="51" t="s">
        <v>192</v>
      </c>
      <c r="K14" s="19" t="s">
        <v>70</v>
      </c>
      <c r="L14" s="26">
        <v>7442</v>
      </c>
      <c r="M14" s="26">
        <v>12000</v>
      </c>
      <c r="N14" s="9">
        <v>7500</v>
      </c>
      <c r="O14" s="9">
        <v>8200</v>
      </c>
      <c r="P14" s="9">
        <v>9000</v>
      </c>
      <c r="Q14" s="9">
        <v>12000</v>
      </c>
      <c r="R14" s="45">
        <f>12000-7442</f>
        <v>4558</v>
      </c>
      <c r="S14" s="27"/>
      <c r="T14" s="27"/>
      <c r="U14" s="28" t="s">
        <v>168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58">
        <v>0</v>
      </c>
      <c r="AC14" s="67">
        <v>0</v>
      </c>
      <c r="AD14" s="58">
        <v>0</v>
      </c>
      <c r="AE14" s="58">
        <v>0</v>
      </c>
      <c r="AF14" s="58">
        <v>0</v>
      </c>
      <c r="AG14" s="67">
        <v>0</v>
      </c>
      <c r="AH14" s="67">
        <v>0</v>
      </c>
      <c r="AI14" s="58">
        <v>0</v>
      </c>
      <c r="AJ14" s="63"/>
      <c r="AK14" s="63"/>
      <c r="AL14" s="63"/>
      <c r="AM14" s="63"/>
      <c r="AN14" s="63"/>
      <c r="AO14" s="63"/>
      <c r="AP14" s="58">
        <v>0</v>
      </c>
      <c r="AQ14" s="63"/>
      <c r="AR14" s="63"/>
      <c r="AS14" s="63"/>
      <c r="AT14" s="63"/>
      <c r="AU14" s="63"/>
      <c r="AV14" s="63"/>
      <c r="AW14" s="58">
        <v>0</v>
      </c>
    </row>
    <row r="15" spans="1:49" s="22" customFormat="1" ht="32.25" customHeight="1">
      <c r="D15" s="83"/>
      <c r="E15" s="82"/>
      <c r="F15" s="82"/>
      <c r="G15" s="82"/>
      <c r="H15" s="82"/>
      <c r="I15" s="30" t="s">
        <v>71</v>
      </c>
      <c r="J15" s="19" t="s">
        <v>193</v>
      </c>
      <c r="K15" s="19" t="s">
        <v>72</v>
      </c>
      <c r="L15" s="26">
        <v>0</v>
      </c>
      <c r="M15" s="26">
        <v>800</v>
      </c>
      <c r="N15" s="46">
        <v>100</v>
      </c>
      <c r="O15" s="46">
        <f>300-100</f>
        <v>200</v>
      </c>
      <c r="P15" s="46">
        <f>500-300</f>
        <v>200</v>
      </c>
      <c r="Q15" s="46">
        <f>800-500</f>
        <v>300</v>
      </c>
      <c r="R15" s="45"/>
      <c r="S15" s="27"/>
      <c r="T15" s="27"/>
      <c r="U15" s="28" t="s">
        <v>168</v>
      </c>
      <c r="V15" s="13">
        <v>0</v>
      </c>
      <c r="W15" s="13">
        <v>500000</v>
      </c>
      <c r="X15" s="13">
        <v>0</v>
      </c>
      <c r="Y15" s="13">
        <v>0</v>
      </c>
      <c r="Z15" s="13">
        <v>0</v>
      </c>
      <c r="AA15" s="13">
        <v>0</v>
      </c>
      <c r="AB15" s="15">
        <v>500000</v>
      </c>
      <c r="AC15" s="17">
        <v>0</v>
      </c>
      <c r="AD15" s="16">
        <v>1615882.4</v>
      </c>
      <c r="AE15" s="17">
        <v>0</v>
      </c>
      <c r="AF15" s="17">
        <v>0</v>
      </c>
      <c r="AG15" s="17">
        <v>0</v>
      </c>
      <c r="AH15" s="17">
        <v>0</v>
      </c>
      <c r="AI15" s="15">
        <v>1615882.4</v>
      </c>
      <c r="AJ15" s="13">
        <v>0</v>
      </c>
      <c r="AK15" s="13">
        <v>1664358.872</v>
      </c>
      <c r="AL15" s="13">
        <v>0</v>
      </c>
      <c r="AM15" s="13">
        <v>0</v>
      </c>
      <c r="AN15" s="13">
        <v>0</v>
      </c>
      <c r="AO15" s="13">
        <v>0</v>
      </c>
      <c r="AP15" s="15">
        <v>1664358.872</v>
      </c>
      <c r="AQ15" s="13">
        <v>0</v>
      </c>
      <c r="AR15" s="13">
        <v>1714289.6381600001</v>
      </c>
      <c r="AS15" s="13">
        <v>0</v>
      </c>
      <c r="AT15" s="13">
        <v>0</v>
      </c>
      <c r="AU15" s="13">
        <v>0</v>
      </c>
      <c r="AV15" s="13">
        <v>0</v>
      </c>
      <c r="AW15" s="15">
        <v>1714289.6381600001</v>
      </c>
    </row>
    <row r="16" spans="1:49" s="22" customFormat="1" ht="22.5">
      <c r="D16" s="83"/>
      <c r="E16" s="82"/>
      <c r="F16" s="82"/>
      <c r="G16" s="82"/>
      <c r="H16" s="82"/>
      <c r="I16" s="75" t="s">
        <v>73</v>
      </c>
      <c r="J16" s="19" t="s">
        <v>194</v>
      </c>
      <c r="K16" s="19" t="s">
        <v>74</v>
      </c>
      <c r="L16" s="26">
        <v>0</v>
      </c>
      <c r="M16" s="26">
        <v>1</v>
      </c>
      <c r="N16" s="9">
        <v>0</v>
      </c>
      <c r="O16" s="48">
        <v>0.2</v>
      </c>
      <c r="P16" s="48">
        <v>0.3</v>
      </c>
      <c r="Q16" s="48">
        <v>0.5</v>
      </c>
      <c r="R16" s="45"/>
      <c r="S16" s="27"/>
      <c r="T16" s="27"/>
      <c r="U16" s="28" t="s">
        <v>164</v>
      </c>
      <c r="V16" s="61">
        <v>1E-3</v>
      </c>
      <c r="W16" s="61">
        <v>600000</v>
      </c>
      <c r="X16" s="61">
        <v>0</v>
      </c>
      <c r="Y16" s="61">
        <v>600000</v>
      </c>
      <c r="Z16" s="61">
        <v>0</v>
      </c>
      <c r="AA16" s="61">
        <v>1393449.0090000001</v>
      </c>
      <c r="AB16" s="59">
        <v>2593449.0100000002</v>
      </c>
      <c r="AC16" s="56">
        <v>20000000</v>
      </c>
      <c r="AD16" s="56">
        <v>7200000</v>
      </c>
      <c r="AE16" s="56">
        <v>0</v>
      </c>
      <c r="AF16" s="56">
        <v>624000</v>
      </c>
      <c r="AG16" s="66">
        <v>0</v>
      </c>
      <c r="AH16" s="66">
        <v>0</v>
      </c>
      <c r="AI16" s="59">
        <v>27824000</v>
      </c>
      <c r="AJ16" s="61">
        <v>20600000</v>
      </c>
      <c r="AK16" s="61">
        <v>7416000</v>
      </c>
      <c r="AL16" s="61">
        <v>0</v>
      </c>
      <c r="AM16" s="61">
        <v>642720</v>
      </c>
      <c r="AN16" s="61">
        <v>0</v>
      </c>
      <c r="AO16" s="61">
        <v>0</v>
      </c>
      <c r="AP16" s="59">
        <v>28658720</v>
      </c>
      <c r="AQ16" s="61">
        <v>21218000</v>
      </c>
      <c r="AR16" s="61">
        <v>7638480</v>
      </c>
      <c r="AS16" s="61">
        <v>0</v>
      </c>
      <c r="AT16" s="61">
        <v>662001.6</v>
      </c>
      <c r="AU16" s="61">
        <v>0</v>
      </c>
      <c r="AV16" s="61">
        <v>0</v>
      </c>
      <c r="AW16" s="59">
        <v>29518481.600000001</v>
      </c>
    </row>
    <row r="17" spans="4:49" s="22" customFormat="1" ht="22.5">
      <c r="D17" s="83"/>
      <c r="E17" s="82"/>
      <c r="F17" s="82"/>
      <c r="G17" s="82"/>
      <c r="H17" s="82"/>
      <c r="I17" s="77"/>
      <c r="J17" s="19" t="s">
        <v>195</v>
      </c>
      <c r="K17" s="19" t="s">
        <v>75</v>
      </c>
      <c r="L17" s="26">
        <v>0</v>
      </c>
      <c r="M17" s="26">
        <v>432</v>
      </c>
      <c r="N17" s="46">
        <v>50</v>
      </c>
      <c r="O17" s="46">
        <f>150-50</f>
        <v>100</v>
      </c>
      <c r="P17" s="46">
        <f>250-150</f>
        <v>100</v>
      </c>
      <c r="Q17" s="54">
        <f>432-250</f>
        <v>182</v>
      </c>
      <c r="R17" s="45"/>
      <c r="S17" s="27"/>
      <c r="T17" s="27"/>
      <c r="U17" s="28" t="s">
        <v>164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0">
        <v>0</v>
      </c>
      <c r="AC17" s="58">
        <v>0</v>
      </c>
      <c r="AD17" s="58">
        <v>0</v>
      </c>
      <c r="AE17" s="58">
        <v>0</v>
      </c>
      <c r="AF17" s="58">
        <v>0</v>
      </c>
      <c r="AG17" s="67">
        <v>0</v>
      </c>
      <c r="AH17" s="67">
        <v>0</v>
      </c>
      <c r="AI17" s="60">
        <v>0</v>
      </c>
      <c r="AJ17" s="63"/>
      <c r="AK17" s="63"/>
      <c r="AL17" s="63"/>
      <c r="AM17" s="63"/>
      <c r="AN17" s="63"/>
      <c r="AO17" s="63"/>
      <c r="AP17" s="60">
        <v>0</v>
      </c>
      <c r="AQ17" s="63"/>
      <c r="AR17" s="63"/>
      <c r="AS17" s="63"/>
      <c r="AT17" s="63"/>
      <c r="AU17" s="63"/>
      <c r="AV17" s="63"/>
      <c r="AW17" s="60">
        <v>0</v>
      </c>
    </row>
    <row r="18" spans="4:49" s="22" customFormat="1" ht="56.25">
      <c r="D18" s="66" t="s">
        <v>76</v>
      </c>
      <c r="E18" s="31" t="s">
        <v>77</v>
      </c>
      <c r="F18" s="31" t="s">
        <v>78</v>
      </c>
      <c r="G18" s="40">
        <v>5.09</v>
      </c>
      <c r="H18" s="40">
        <v>5.7</v>
      </c>
      <c r="I18" s="93" t="s">
        <v>79</v>
      </c>
      <c r="J18" s="32" t="s">
        <v>196</v>
      </c>
      <c r="K18" s="32" t="s">
        <v>80</v>
      </c>
      <c r="L18" s="26">
        <v>13</v>
      </c>
      <c r="M18" s="26">
        <v>35</v>
      </c>
      <c r="N18" s="9">
        <v>15</v>
      </c>
      <c r="O18" s="9">
        <v>20</v>
      </c>
      <c r="P18" s="9">
        <v>25</v>
      </c>
      <c r="Q18" s="9">
        <v>35</v>
      </c>
      <c r="R18" s="45"/>
      <c r="S18" s="27"/>
      <c r="T18" s="27"/>
      <c r="U18" s="28" t="s">
        <v>169</v>
      </c>
      <c r="V18" s="72">
        <v>0</v>
      </c>
      <c r="W18" s="72">
        <v>620000</v>
      </c>
      <c r="X18" s="72">
        <v>0</v>
      </c>
      <c r="Y18" s="72">
        <v>917600</v>
      </c>
      <c r="Z18" s="72">
        <v>0</v>
      </c>
      <c r="AA18" s="72">
        <v>0</v>
      </c>
      <c r="AB18" s="59">
        <v>1537600</v>
      </c>
      <c r="AC18" s="70">
        <v>0</v>
      </c>
      <c r="AD18" s="59">
        <v>2381000</v>
      </c>
      <c r="AE18" s="59">
        <v>0</v>
      </c>
      <c r="AF18" s="59">
        <v>1500000</v>
      </c>
      <c r="AG18" s="70">
        <v>0</v>
      </c>
      <c r="AH18" s="70">
        <v>0</v>
      </c>
      <c r="AI18" s="59">
        <v>3881000</v>
      </c>
      <c r="AJ18" s="64">
        <v>0</v>
      </c>
      <c r="AK18" s="64">
        <v>2452430</v>
      </c>
      <c r="AL18" s="64">
        <v>0</v>
      </c>
      <c r="AM18" s="64">
        <v>1545000</v>
      </c>
      <c r="AN18" s="64">
        <v>0</v>
      </c>
      <c r="AO18" s="64">
        <v>0</v>
      </c>
      <c r="AP18" s="59">
        <v>3997430</v>
      </c>
      <c r="AQ18" s="64">
        <v>0</v>
      </c>
      <c r="AR18" s="64">
        <v>2526002.9</v>
      </c>
      <c r="AS18" s="64">
        <v>0</v>
      </c>
      <c r="AT18" s="64">
        <v>1591350</v>
      </c>
      <c r="AU18" s="64">
        <v>0</v>
      </c>
      <c r="AV18" s="64">
        <v>0</v>
      </c>
      <c r="AW18" s="59">
        <v>4117352.9</v>
      </c>
    </row>
    <row r="19" spans="4:49" s="22" customFormat="1" ht="58.5" customHeight="1">
      <c r="D19" s="69"/>
      <c r="E19" s="31" t="s">
        <v>81</v>
      </c>
      <c r="F19" s="31" t="s">
        <v>82</v>
      </c>
      <c r="G19" s="40">
        <v>4.71</v>
      </c>
      <c r="H19" s="40">
        <v>5.7</v>
      </c>
      <c r="I19" s="73"/>
      <c r="J19" s="32" t="s">
        <v>197</v>
      </c>
      <c r="K19" s="32" t="s">
        <v>83</v>
      </c>
      <c r="L19" s="26">
        <v>15</v>
      </c>
      <c r="M19" s="26">
        <v>25</v>
      </c>
      <c r="N19" s="9">
        <v>16</v>
      </c>
      <c r="O19" s="9">
        <v>18</v>
      </c>
      <c r="P19" s="9">
        <v>20</v>
      </c>
      <c r="Q19" s="9">
        <v>25</v>
      </c>
      <c r="R19" s="45"/>
      <c r="S19" s="27"/>
      <c r="T19" s="27"/>
      <c r="U19" s="28" t="s">
        <v>169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95">
        <v>0</v>
      </c>
      <c r="AC19" s="97">
        <v>0</v>
      </c>
      <c r="AD19" s="95">
        <v>0</v>
      </c>
      <c r="AE19" s="95">
        <v>0</v>
      </c>
      <c r="AF19" s="95">
        <v>0</v>
      </c>
      <c r="AG19" s="97">
        <v>0</v>
      </c>
      <c r="AH19" s="97">
        <v>0</v>
      </c>
      <c r="AI19" s="95">
        <v>0</v>
      </c>
      <c r="AJ19" s="96"/>
      <c r="AK19" s="96"/>
      <c r="AL19" s="96"/>
      <c r="AM19" s="96"/>
      <c r="AN19" s="96"/>
      <c r="AO19" s="96"/>
      <c r="AP19" s="95">
        <v>0</v>
      </c>
      <c r="AQ19" s="96"/>
      <c r="AR19" s="96"/>
      <c r="AS19" s="96"/>
      <c r="AT19" s="96"/>
      <c r="AU19" s="96"/>
      <c r="AV19" s="96"/>
      <c r="AW19" s="95">
        <v>0</v>
      </c>
    </row>
    <row r="20" spans="4:49" s="22" customFormat="1" ht="33.75">
      <c r="D20" s="69"/>
      <c r="E20" s="31" t="s">
        <v>84</v>
      </c>
      <c r="F20" s="31" t="s">
        <v>85</v>
      </c>
      <c r="G20" s="40">
        <v>5.17</v>
      </c>
      <c r="H20" s="40">
        <v>6.2</v>
      </c>
      <c r="I20" s="73"/>
      <c r="J20" s="32" t="s">
        <v>198</v>
      </c>
      <c r="K20" s="32" t="s">
        <v>86</v>
      </c>
      <c r="L20" s="26">
        <v>2.3199999999999998</v>
      </c>
      <c r="M20" s="26">
        <v>2.64</v>
      </c>
      <c r="N20" s="48">
        <v>2.35</v>
      </c>
      <c r="O20" s="48">
        <v>2.4</v>
      </c>
      <c r="P20" s="48">
        <v>2.5</v>
      </c>
      <c r="Q20" s="48">
        <v>2.64</v>
      </c>
      <c r="R20" s="45"/>
      <c r="S20" s="27"/>
      <c r="T20" s="27"/>
      <c r="U20" s="28" t="s">
        <v>169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95">
        <v>0</v>
      </c>
      <c r="AC20" s="97">
        <v>0</v>
      </c>
      <c r="AD20" s="95">
        <v>0</v>
      </c>
      <c r="AE20" s="95">
        <v>0</v>
      </c>
      <c r="AF20" s="95">
        <v>0</v>
      </c>
      <c r="AG20" s="97">
        <v>0</v>
      </c>
      <c r="AH20" s="97">
        <v>0</v>
      </c>
      <c r="AI20" s="95">
        <v>0</v>
      </c>
      <c r="AJ20" s="96"/>
      <c r="AK20" s="96"/>
      <c r="AL20" s="96"/>
      <c r="AM20" s="96"/>
      <c r="AN20" s="96"/>
      <c r="AO20" s="96"/>
      <c r="AP20" s="95">
        <v>0</v>
      </c>
      <c r="AQ20" s="96"/>
      <c r="AR20" s="96"/>
      <c r="AS20" s="96"/>
      <c r="AT20" s="96"/>
      <c r="AU20" s="96"/>
      <c r="AV20" s="96"/>
      <c r="AW20" s="95">
        <v>0</v>
      </c>
    </row>
    <row r="21" spans="4:49" s="22" customFormat="1" ht="45">
      <c r="D21" s="69"/>
      <c r="E21" s="31" t="s">
        <v>87</v>
      </c>
      <c r="F21" s="31" t="s">
        <v>88</v>
      </c>
      <c r="G21" s="33">
        <v>0.62</v>
      </c>
      <c r="H21" s="33">
        <v>0.4</v>
      </c>
      <c r="I21" s="73"/>
      <c r="J21" s="32" t="s">
        <v>199</v>
      </c>
      <c r="K21" s="32" t="s">
        <v>89</v>
      </c>
      <c r="L21" s="26">
        <v>2.1800000000000002</v>
      </c>
      <c r="M21" s="26">
        <v>2.57</v>
      </c>
      <c r="N21" s="48">
        <v>2.2200000000000002</v>
      </c>
      <c r="O21" s="48">
        <v>2.2999999999999998</v>
      </c>
      <c r="P21" s="48">
        <v>2.4</v>
      </c>
      <c r="Q21" s="48">
        <v>2.57</v>
      </c>
      <c r="R21" s="45"/>
      <c r="S21" s="27"/>
      <c r="T21" s="27"/>
      <c r="U21" s="28" t="s">
        <v>169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95">
        <v>0</v>
      </c>
      <c r="AC21" s="97">
        <v>0</v>
      </c>
      <c r="AD21" s="95">
        <v>0</v>
      </c>
      <c r="AE21" s="95">
        <v>0</v>
      </c>
      <c r="AF21" s="95">
        <v>0</v>
      </c>
      <c r="AG21" s="97">
        <v>0</v>
      </c>
      <c r="AH21" s="97">
        <v>0</v>
      </c>
      <c r="AI21" s="95">
        <v>0</v>
      </c>
      <c r="AJ21" s="96"/>
      <c r="AK21" s="96"/>
      <c r="AL21" s="96"/>
      <c r="AM21" s="96"/>
      <c r="AN21" s="96"/>
      <c r="AO21" s="96"/>
      <c r="AP21" s="95">
        <v>0</v>
      </c>
      <c r="AQ21" s="96"/>
      <c r="AR21" s="96"/>
      <c r="AS21" s="96"/>
      <c r="AT21" s="96"/>
      <c r="AU21" s="96"/>
      <c r="AV21" s="96"/>
      <c r="AW21" s="95">
        <v>0</v>
      </c>
    </row>
    <row r="22" spans="4:49" s="22" customFormat="1" ht="31.5" customHeight="1">
      <c r="D22" s="69"/>
      <c r="E22" s="84"/>
      <c r="F22" s="85"/>
      <c r="G22" s="85"/>
      <c r="H22" s="86"/>
      <c r="I22" s="73"/>
      <c r="J22" s="32" t="s">
        <v>200</v>
      </c>
      <c r="K22" s="32" t="s">
        <v>90</v>
      </c>
      <c r="L22" s="26">
        <v>2.31</v>
      </c>
      <c r="M22" s="26">
        <v>2.71</v>
      </c>
      <c r="N22" s="48">
        <v>2.35</v>
      </c>
      <c r="O22" s="48">
        <v>2.4</v>
      </c>
      <c r="P22" s="48">
        <v>2.5</v>
      </c>
      <c r="Q22" s="48">
        <v>2.71</v>
      </c>
      <c r="R22" s="45"/>
      <c r="S22" s="27"/>
      <c r="T22" s="27"/>
      <c r="U22" s="28" t="s">
        <v>169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95">
        <v>0</v>
      </c>
      <c r="AC22" s="97">
        <v>0</v>
      </c>
      <c r="AD22" s="95">
        <v>0</v>
      </c>
      <c r="AE22" s="95">
        <v>0</v>
      </c>
      <c r="AF22" s="95">
        <v>0</v>
      </c>
      <c r="AG22" s="97">
        <v>0</v>
      </c>
      <c r="AH22" s="97">
        <v>0</v>
      </c>
      <c r="AI22" s="95">
        <v>0</v>
      </c>
      <c r="AJ22" s="96"/>
      <c r="AK22" s="96"/>
      <c r="AL22" s="96"/>
      <c r="AM22" s="96"/>
      <c r="AN22" s="96"/>
      <c r="AO22" s="96"/>
      <c r="AP22" s="95">
        <v>0</v>
      </c>
      <c r="AQ22" s="96"/>
      <c r="AR22" s="96"/>
      <c r="AS22" s="96"/>
      <c r="AT22" s="96"/>
      <c r="AU22" s="96"/>
      <c r="AV22" s="96"/>
      <c r="AW22" s="95">
        <v>0</v>
      </c>
    </row>
    <row r="23" spans="4:49" s="22" customFormat="1" ht="40.5" customHeight="1">
      <c r="D23" s="69"/>
      <c r="E23" s="87"/>
      <c r="F23" s="88"/>
      <c r="G23" s="88"/>
      <c r="H23" s="89"/>
      <c r="I23" s="74"/>
      <c r="J23" s="32" t="s">
        <v>201</v>
      </c>
      <c r="K23" s="32" t="s">
        <v>91</v>
      </c>
      <c r="L23" s="26">
        <v>50</v>
      </c>
      <c r="M23" s="26">
        <v>104</v>
      </c>
      <c r="N23" s="46">
        <f>55-50</f>
        <v>5</v>
      </c>
      <c r="O23" s="46">
        <f>65-55</f>
        <v>10</v>
      </c>
      <c r="P23" s="46">
        <f>80-65</f>
        <v>15</v>
      </c>
      <c r="Q23" s="46">
        <f>104-80</f>
        <v>24</v>
      </c>
      <c r="R23" s="45">
        <f>104-50</f>
        <v>54</v>
      </c>
      <c r="S23" s="27"/>
      <c r="T23" s="27"/>
      <c r="U23" s="28" t="s">
        <v>169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60">
        <v>0</v>
      </c>
      <c r="AC23" s="71">
        <v>0</v>
      </c>
      <c r="AD23" s="60">
        <v>0</v>
      </c>
      <c r="AE23" s="60">
        <v>0</v>
      </c>
      <c r="AF23" s="60">
        <v>0</v>
      </c>
      <c r="AG23" s="71">
        <v>0</v>
      </c>
      <c r="AH23" s="71">
        <v>0</v>
      </c>
      <c r="AI23" s="60">
        <v>0</v>
      </c>
      <c r="AJ23" s="65"/>
      <c r="AK23" s="65"/>
      <c r="AL23" s="65"/>
      <c r="AM23" s="65"/>
      <c r="AN23" s="65"/>
      <c r="AO23" s="65"/>
      <c r="AP23" s="60">
        <v>0</v>
      </c>
      <c r="AQ23" s="65"/>
      <c r="AR23" s="65"/>
      <c r="AS23" s="65"/>
      <c r="AT23" s="65"/>
      <c r="AU23" s="65"/>
      <c r="AV23" s="65"/>
      <c r="AW23" s="60">
        <v>0</v>
      </c>
    </row>
    <row r="24" spans="4:49" s="22" customFormat="1" ht="31.5" customHeight="1">
      <c r="D24" s="69"/>
      <c r="E24" s="87"/>
      <c r="F24" s="88"/>
      <c r="G24" s="88"/>
      <c r="H24" s="89"/>
      <c r="I24" s="75" t="s">
        <v>92</v>
      </c>
      <c r="J24" s="19" t="s">
        <v>202</v>
      </c>
      <c r="K24" s="19" t="s">
        <v>93</v>
      </c>
      <c r="L24" s="26">
        <v>500</v>
      </c>
      <c r="M24" s="26">
        <v>1700</v>
      </c>
      <c r="N24" s="54">
        <v>100</v>
      </c>
      <c r="O24" s="46">
        <f>800-600</f>
        <v>200</v>
      </c>
      <c r="P24" s="46">
        <f>1000-800</f>
        <v>200</v>
      </c>
      <c r="Q24" s="46">
        <f>1700-1000</f>
        <v>700</v>
      </c>
      <c r="R24" s="45"/>
      <c r="S24" s="27"/>
      <c r="T24" s="27"/>
      <c r="U24" s="28" t="s">
        <v>170</v>
      </c>
      <c r="V24" s="61">
        <v>0</v>
      </c>
      <c r="W24" s="61">
        <v>200000</v>
      </c>
      <c r="X24" s="61">
        <v>0</v>
      </c>
      <c r="Y24" s="61">
        <v>1500000</v>
      </c>
      <c r="Z24" s="61">
        <v>0</v>
      </c>
      <c r="AA24" s="61">
        <v>0</v>
      </c>
      <c r="AB24" s="56">
        <v>1700000</v>
      </c>
      <c r="AC24" s="66">
        <v>0</v>
      </c>
      <c r="AD24" s="56">
        <v>1499999.9998399999</v>
      </c>
      <c r="AE24" s="56">
        <v>0</v>
      </c>
      <c r="AF24" s="56">
        <v>1554955.40616</v>
      </c>
      <c r="AG24" s="66">
        <v>0</v>
      </c>
      <c r="AH24" s="66">
        <v>0</v>
      </c>
      <c r="AI24" s="56">
        <v>3054955.406</v>
      </c>
      <c r="AJ24" s="61">
        <v>0</v>
      </c>
      <c r="AK24" s="61">
        <v>1544999.9998351999</v>
      </c>
      <c r="AL24" s="61">
        <v>0</v>
      </c>
      <c r="AM24" s="61">
        <v>1601604.0683448</v>
      </c>
      <c r="AN24" s="61">
        <v>0</v>
      </c>
      <c r="AO24" s="61">
        <v>0</v>
      </c>
      <c r="AP24" s="56">
        <v>3146604.0681799999</v>
      </c>
      <c r="AQ24" s="61">
        <v>0</v>
      </c>
      <c r="AR24" s="61">
        <v>1591349.999830256</v>
      </c>
      <c r="AS24" s="61">
        <v>0</v>
      </c>
      <c r="AT24" s="61">
        <v>1649652.190395144</v>
      </c>
      <c r="AU24" s="61">
        <v>0</v>
      </c>
      <c r="AV24" s="61">
        <v>0</v>
      </c>
      <c r="AW24" s="56">
        <v>3241002.1902254</v>
      </c>
    </row>
    <row r="25" spans="4:49" s="22" customFormat="1" ht="38.25" customHeight="1">
      <c r="D25" s="69"/>
      <c r="E25" s="87"/>
      <c r="F25" s="88"/>
      <c r="G25" s="88"/>
      <c r="H25" s="89"/>
      <c r="I25" s="76"/>
      <c r="J25" s="19" t="s">
        <v>203</v>
      </c>
      <c r="K25" s="19" t="s">
        <v>94</v>
      </c>
      <c r="L25" s="26" t="s">
        <v>95</v>
      </c>
      <c r="M25" s="26">
        <v>800</v>
      </c>
      <c r="N25" s="46">
        <v>150</v>
      </c>
      <c r="O25" s="46">
        <f>300-150</f>
        <v>150</v>
      </c>
      <c r="P25" s="46">
        <f>500-300</f>
        <v>200</v>
      </c>
      <c r="Q25" s="46">
        <f>800-500</f>
        <v>300</v>
      </c>
      <c r="R25" s="45"/>
      <c r="S25" s="27"/>
      <c r="T25" s="27"/>
      <c r="U25" s="28" t="s">
        <v>170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57">
        <v>0</v>
      </c>
      <c r="AC25" s="69">
        <v>0</v>
      </c>
      <c r="AD25" s="57">
        <v>0</v>
      </c>
      <c r="AE25" s="57">
        <v>0</v>
      </c>
      <c r="AF25" s="57">
        <v>0</v>
      </c>
      <c r="AG25" s="69">
        <v>0</v>
      </c>
      <c r="AH25" s="69">
        <v>0</v>
      </c>
      <c r="AI25" s="57">
        <v>0</v>
      </c>
      <c r="AJ25" s="62"/>
      <c r="AK25" s="62"/>
      <c r="AL25" s="62"/>
      <c r="AM25" s="62"/>
      <c r="AN25" s="62"/>
      <c r="AO25" s="62"/>
      <c r="AP25" s="57">
        <v>0</v>
      </c>
      <c r="AQ25" s="62"/>
      <c r="AR25" s="62"/>
      <c r="AS25" s="62"/>
      <c r="AT25" s="62"/>
      <c r="AU25" s="62"/>
      <c r="AV25" s="62"/>
      <c r="AW25" s="57">
        <v>0</v>
      </c>
    </row>
    <row r="26" spans="4:49" s="22" customFormat="1" ht="45.75" customHeight="1">
      <c r="D26" s="69"/>
      <c r="E26" s="87"/>
      <c r="F26" s="88"/>
      <c r="G26" s="88"/>
      <c r="H26" s="89"/>
      <c r="I26" s="76"/>
      <c r="J26" s="19" t="s">
        <v>204</v>
      </c>
      <c r="K26" s="19" t="s">
        <v>96</v>
      </c>
      <c r="L26" s="26" t="s">
        <v>95</v>
      </c>
      <c r="M26" s="26">
        <v>250</v>
      </c>
      <c r="N26" s="46">
        <v>60</v>
      </c>
      <c r="O26" s="46">
        <f>120-60</f>
        <v>60</v>
      </c>
      <c r="P26" s="46">
        <f>200-120</f>
        <v>80</v>
      </c>
      <c r="Q26" s="46">
        <f>250-200</f>
        <v>50</v>
      </c>
      <c r="R26" s="45"/>
      <c r="S26" s="27"/>
      <c r="T26" s="27"/>
      <c r="U26" s="28" t="s">
        <v>170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57">
        <v>0</v>
      </c>
      <c r="AC26" s="69">
        <v>0</v>
      </c>
      <c r="AD26" s="57">
        <v>0</v>
      </c>
      <c r="AE26" s="57">
        <v>0</v>
      </c>
      <c r="AF26" s="57">
        <v>0</v>
      </c>
      <c r="AG26" s="69">
        <v>0</v>
      </c>
      <c r="AH26" s="69">
        <v>0</v>
      </c>
      <c r="AI26" s="57">
        <v>0</v>
      </c>
      <c r="AJ26" s="62"/>
      <c r="AK26" s="62"/>
      <c r="AL26" s="62"/>
      <c r="AM26" s="62"/>
      <c r="AN26" s="62"/>
      <c r="AO26" s="62"/>
      <c r="AP26" s="57">
        <v>0</v>
      </c>
      <c r="AQ26" s="62"/>
      <c r="AR26" s="62"/>
      <c r="AS26" s="62"/>
      <c r="AT26" s="62"/>
      <c r="AU26" s="62"/>
      <c r="AV26" s="62"/>
      <c r="AW26" s="57">
        <v>0</v>
      </c>
    </row>
    <row r="27" spans="4:49" s="22" customFormat="1" ht="22.5">
      <c r="D27" s="69"/>
      <c r="E27" s="87"/>
      <c r="F27" s="88"/>
      <c r="G27" s="88"/>
      <c r="H27" s="89"/>
      <c r="I27" s="76"/>
      <c r="J27" s="19" t="s">
        <v>205</v>
      </c>
      <c r="K27" s="19" t="s">
        <v>97</v>
      </c>
      <c r="L27" s="26" t="s">
        <v>95</v>
      </c>
      <c r="M27" s="26">
        <v>380</v>
      </c>
      <c r="N27" s="46">
        <v>80</v>
      </c>
      <c r="O27" s="46">
        <f>160-80</f>
        <v>80</v>
      </c>
      <c r="P27" s="46">
        <f>240-160</f>
        <v>80</v>
      </c>
      <c r="Q27" s="46">
        <f>380-240</f>
        <v>140</v>
      </c>
      <c r="R27" s="45"/>
      <c r="S27" s="27"/>
      <c r="T27" s="27"/>
      <c r="U27" s="28" t="s">
        <v>170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57">
        <v>0</v>
      </c>
      <c r="AC27" s="69">
        <v>0</v>
      </c>
      <c r="AD27" s="57">
        <v>0</v>
      </c>
      <c r="AE27" s="57">
        <v>0</v>
      </c>
      <c r="AF27" s="57">
        <v>0</v>
      </c>
      <c r="AG27" s="69">
        <v>0</v>
      </c>
      <c r="AH27" s="69">
        <v>0</v>
      </c>
      <c r="AI27" s="57">
        <v>0</v>
      </c>
      <c r="AJ27" s="62"/>
      <c r="AK27" s="62"/>
      <c r="AL27" s="62"/>
      <c r="AM27" s="62"/>
      <c r="AN27" s="62"/>
      <c r="AO27" s="62"/>
      <c r="AP27" s="57">
        <v>0</v>
      </c>
      <c r="AQ27" s="62"/>
      <c r="AR27" s="62"/>
      <c r="AS27" s="62"/>
      <c r="AT27" s="62"/>
      <c r="AU27" s="62"/>
      <c r="AV27" s="62"/>
      <c r="AW27" s="57">
        <v>0</v>
      </c>
    </row>
    <row r="28" spans="4:49" s="22" customFormat="1" ht="45">
      <c r="D28" s="69"/>
      <c r="E28" s="87"/>
      <c r="F28" s="88"/>
      <c r="G28" s="88"/>
      <c r="H28" s="89"/>
      <c r="I28" s="77"/>
      <c r="J28" s="19" t="s">
        <v>206</v>
      </c>
      <c r="K28" s="19" t="s">
        <v>98</v>
      </c>
      <c r="L28" s="26" t="s">
        <v>95</v>
      </c>
      <c r="M28" s="26">
        <v>720</v>
      </c>
      <c r="N28" s="46">
        <v>100</v>
      </c>
      <c r="O28" s="46">
        <f>250-100</f>
        <v>150</v>
      </c>
      <c r="P28" s="46">
        <f>500-250</f>
        <v>250</v>
      </c>
      <c r="Q28" s="46">
        <f>720-500</f>
        <v>220</v>
      </c>
      <c r="R28" s="45"/>
      <c r="S28" s="27"/>
      <c r="T28" s="27"/>
      <c r="U28" s="28" t="s">
        <v>170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58">
        <v>0</v>
      </c>
      <c r="AC28" s="67">
        <v>0</v>
      </c>
      <c r="AD28" s="58">
        <v>0</v>
      </c>
      <c r="AE28" s="58">
        <v>0</v>
      </c>
      <c r="AF28" s="58">
        <v>0</v>
      </c>
      <c r="AG28" s="67">
        <v>0</v>
      </c>
      <c r="AH28" s="67">
        <v>0</v>
      </c>
      <c r="AI28" s="58">
        <v>0</v>
      </c>
      <c r="AJ28" s="63"/>
      <c r="AK28" s="63"/>
      <c r="AL28" s="63"/>
      <c r="AM28" s="63"/>
      <c r="AN28" s="63"/>
      <c r="AO28" s="63"/>
      <c r="AP28" s="58">
        <v>0</v>
      </c>
      <c r="AQ28" s="63"/>
      <c r="AR28" s="63"/>
      <c r="AS28" s="63"/>
      <c r="AT28" s="63"/>
      <c r="AU28" s="63"/>
      <c r="AV28" s="63"/>
      <c r="AW28" s="58">
        <v>0</v>
      </c>
    </row>
    <row r="29" spans="4:49" s="22" customFormat="1" ht="48" customHeight="1">
      <c r="D29" s="69"/>
      <c r="E29" s="87"/>
      <c r="F29" s="88"/>
      <c r="G29" s="88"/>
      <c r="H29" s="89"/>
      <c r="I29" s="93" t="s">
        <v>99</v>
      </c>
      <c r="J29" s="19" t="s">
        <v>207</v>
      </c>
      <c r="K29" s="19" t="s">
        <v>100</v>
      </c>
      <c r="L29" s="26">
        <v>0</v>
      </c>
      <c r="M29" s="26">
        <v>60</v>
      </c>
      <c r="N29" s="46">
        <v>10</v>
      </c>
      <c r="O29" s="46">
        <f>30-10</f>
        <v>20</v>
      </c>
      <c r="P29" s="46">
        <f>45-30</f>
        <v>15</v>
      </c>
      <c r="Q29" s="46">
        <f>60-45</f>
        <v>15</v>
      </c>
      <c r="R29" s="45"/>
      <c r="S29" s="27"/>
      <c r="T29" s="27"/>
      <c r="U29" s="28" t="s">
        <v>171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0</v>
      </c>
      <c r="AB29" s="59">
        <v>0</v>
      </c>
      <c r="AC29" s="70">
        <v>0</v>
      </c>
      <c r="AD29" s="59">
        <v>1600000</v>
      </c>
      <c r="AE29" s="59">
        <v>0</v>
      </c>
      <c r="AF29" s="59">
        <v>1000000</v>
      </c>
      <c r="AG29" s="70">
        <v>0</v>
      </c>
      <c r="AH29" s="70">
        <v>0</v>
      </c>
      <c r="AI29" s="59">
        <v>2600000</v>
      </c>
      <c r="AJ29" s="64">
        <v>0</v>
      </c>
      <c r="AK29" s="64">
        <v>1648000</v>
      </c>
      <c r="AL29" s="64">
        <v>0</v>
      </c>
      <c r="AM29" s="64">
        <v>1030000</v>
      </c>
      <c r="AN29" s="64">
        <v>0</v>
      </c>
      <c r="AO29" s="64">
        <v>0</v>
      </c>
      <c r="AP29" s="59">
        <v>2678000</v>
      </c>
      <c r="AQ29" s="64">
        <v>0</v>
      </c>
      <c r="AR29" s="64">
        <v>1697440</v>
      </c>
      <c r="AS29" s="64">
        <v>0</v>
      </c>
      <c r="AT29" s="64">
        <v>1060900</v>
      </c>
      <c r="AU29" s="64">
        <v>0</v>
      </c>
      <c r="AV29" s="64">
        <v>0</v>
      </c>
      <c r="AW29" s="59">
        <v>2758340</v>
      </c>
    </row>
    <row r="30" spans="4:49" s="22" customFormat="1" ht="56.25">
      <c r="D30" s="69"/>
      <c r="E30" s="87"/>
      <c r="F30" s="88"/>
      <c r="G30" s="88"/>
      <c r="H30" s="89"/>
      <c r="I30" s="73"/>
      <c r="J30" s="19" t="s">
        <v>208</v>
      </c>
      <c r="K30" s="19" t="s">
        <v>101</v>
      </c>
      <c r="L30" s="26">
        <v>40</v>
      </c>
      <c r="M30" s="26">
        <v>60</v>
      </c>
      <c r="N30" s="46">
        <f>43-40</f>
        <v>3</v>
      </c>
      <c r="O30" s="46">
        <f>48-43</f>
        <v>5</v>
      </c>
      <c r="P30" s="46">
        <f>52-48</f>
        <v>4</v>
      </c>
      <c r="Q30" s="46">
        <f>60-52</f>
        <v>8</v>
      </c>
      <c r="R30" s="45">
        <f>60-40</f>
        <v>20</v>
      </c>
      <c r="S30" s="27"/>
      <c r="T30" s="27"/>
      <c r="U30" s="28" t="s">
        <v>171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95">
        <v>0</v>
      </c>
      <c r="AC30" s="97">
        <v>0</v>
      </c>
      <c r="AD30" s="95">
        <v>0</v>
      </c>
      <c r="AE30" s="95">
        <v>0</v>
      </c>
      <c r="AF30" s="95">
        <v>0</v>
      </c>
      <c r="AG30" s="97">
        <v>0</v>
      </c>
      <c r="AH30" s="97">
        <v>0</v>
      </c>
      <c r="AI30" s="95">
        <v>0</v>
      </c>
      <c r="AJ30" s="96"/>
      <c r="AK30" s="96"/>
      <c r="AL30" s="96"/>
      <c r="AM30" s="96"/>
      <c r="AN30" s="96"/>
      <c r="AO30" s="96"/>
      <c r="AP30" s="95">
        <v>0</v>
      </c>
      <c r="AQ30" s="96"/>
      <c r="AR30" s="96"/>
      <c r="AS30" s="96"/>
      <c r="AT30" s="96"/>
      <c r="AU30" s="96"/>
      <c r="AV30" s="96"/>
      <c r="AW30" s="95">
        <v>0</v>
      </c>
    </row>
    <row r="31" spans="4:49" s="22" customFormat="1" ht="38.25" customHeight="1">
      <c r="D31" s="69"/>
      <c r="E31" s="87"/>
      <c r="F31" s="88"/>
      <c r="G31" s="88"/>
      <c r="H31" s="89"/>
      <c r="I31" s="74"/>
      <c r="J31" s="19" t="s">
        <v>209</v>
      </c>
      <c r="K31" s="19" t="s">
        <v>102</v>
      </c>
      <c r="L31" s="26">
        <v>50</v>
      </c>
      <c r="M31" s="26">
        <v>90</v>
      </c>
      <c r="N31" s="46">
        <f>55-50</f>
        <v>5</v>
      </c>
      <c r="O31" s="46">
        <f>65-55</f>
        <v>10</v>
      </c>
      <c r="P31" s="46">
        <f>80-65</f>
        <v>15</v>
      </c>
      <c r="Q31" s="46">
        <f>90-80</f>
        <v>10</v>
      </c>
      <c r="R31" s="45">
        <f>90-50</f>
        <v>40</v>
      </c>
      <c r="S31" s="27"/>
      <c r="T31" s="27"/>
      <c r="U31" s="28" t="s">
        <v>171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60">
        <v>0</v>
      </c>
      <c r="AC31" s="71">
        <v>0</v>
      </c>
      <c r="AD31" s="60">
        <v>0</v>
      </c>
      <c r="AE31" s="60">
        <v>0</v>
      </c>
      <c r="AF31" s="60">
        <v>0</v>
      </c>
      <c r="AG31" s="71">
        <v>0</v>
      </c>
      <c r="AH31" s="71">
        <v>0</v>
      </c>
      <c r="AI31" s="60">
        <v>0</v>
      </c>
      <c r="AJ31" s="65"/>
      <c r="AK31" s="65"/>
      <c r="AL31" s="65"/>
      <c r="AM31" s="65"/>
      <c r="AN31" s="65"/>
      <c r="AO31" s="65"/>
      <c r="AP31" s="60">
        <v>0</v>
      </c>
      <c r="AQ31" s="65"/>
      <c r="AR31" s="65"/>
      <c r="AS31" s="65"/>
      <c r="AT31" s="65"/>
      <c r="AU31" s="65"/>
      <c r="AV31" s="65"/>
      <c r="AW31" s="60">
        <v>0</v>
      </c>
    </row>
    <row r="32" spans="4:49" s="22" customFormat="1" ht="45">
      <c r="D32" s="69"/>
      <c r="E32" s="87"/>
      <c r="F32" s="88"/>
      <c r="G32" s="88"/>
      <c r="H32" s="89"/>
      <c r="I32" s="14" t="s">
        <v>103</v>
      </c>
      <c r="J32" s="32" t="s">
        <v>210</v>
      </c>
      <c r="K32" s="32" t="s">
        <v>104</v>
      </c>
      <c r="L32" s="26" t="s">
        <v>95</v>
      </c>
      <c r="M32" s="34">
        <v>0.4</v>
      </c>
      <c r="N32" s="52">
        <v>0.05</v>
      </c>
      <c r="O32" s="52">
        <f>0.15-0.05</f>
        <v>9.9999999999999992E-2</v>
      </c>
      <c r="P32" s="52">
        <f>0.25-0.15</f>
        <v>0.1</v>
      </c>
      <c r="Q32" s="52">
        <f>0.4-0.25</f>
        <v>0.15000000000000002</v>
      </c>
      <c r="R32" s="45"/>
      <c r="S32" s="27"/>
      <c r="T32" s="27"/>
      <c r="U32" s="28" t="s">
        <v>172</v>
      </c>
      <c r="V32" s="20">
        <v>0</v>
      </c>
      <c r="W32" s="20">
        <v>707000</v>
      </c>
      <c r="X32" s="20">
        <v>0</v>
      </c>
      <c r="Y32" s="20">
        <v>971000</v>
      </c>
      <c r="Z32" s="20">
        <v>0</v>
      </c>
      <c r="AA32" s="20">
        <v>0</v>
      </c>
      <c r="AB32" s="12">
        <v>1678000</v>
      </c>
      <c r="AC32" s="23">
        <v>0</v>
      </c>
      <c r="AD32" s="12">
        <v>1500000</v>
      </c>
      <c r="AE32" s="12">
        <v>0</v>
      </c>
      <c r="AF32" s="12">
        <v>1009840</v>
      </c>
      <c r="AG32" s="23">
        <v>0</v>
      </c>
      <c r="AH32" s="23">
        <v>0</v>
      </c>
      <c r="AI32" s="12">
        <v>2509840</v>
      </c>
      <c r="AJ32" s="11">
        <v>0</v>
      </c>
      <c r="AK32" s="11">
        <v>1545000</v>
      </c>
      <c r="AL32" s="11">
        <v>0</v>
      </c>
      <c r="AM32" s="11">
        <v>1040135.2000000001</v>
      </c>
      <c r="AN32" s="11">
        <v>0</v>
      </c>
      <c r="AO32" s="11">
        <v>0</v>
      </c>
      <c r="AP32" s="12">
        <v>2585135.2000000002</v>
      </c>
      <c r="AQ32" s="11">
        <v>0</v>
      </c>
      <c r="AR32" s="11">
        <v>1591350</v>
      </c>
      <c r="AS32" s="11">
        <v>0</v>
      </c>
      <c r="AT32" s="11">
        <v>1071339.2560000001</v>
      </c>
      <c r="AU32" s="11">
        <v>0</v>
      </c>
      <c r="AV32" s="11">
        <v>0</v>
      </c>
      <c r="AW32" s="12">
        <v>2662689.2560000001</v>
      </c>
    </row>
    <row r="33" spans="4:49" s="22" customFormat="1" ht="34.5" customHeight="1">
      <c r="D33" s="69"/>
      <c r="E33" s="87"/>
      <c r="F33" s="88"/>
      <c r="G33" s="88"/>
      <c r="H33" s="89"/>
      <c r="I33" s="93" t="s">
        <v>105</v>
      </c>
      <c r="J33" s="19" t="s">
        <v>211</v>
      </c>
      <c r="K33" s="19" t="s">
        <v>106</v>
      </c>
      <c r="L33" s="26">
        <v>10</v>
      </c>
      <c r="M33" s="26">
        <v>26</v>
      </c>
      <c r="N33" s="46">
        <f>12-10</f>
        <v>2</v>
      </c>
      <c r="O33" s="46">
        <f>15-12</f>
        <v>3</v>
      </c>
      <c r="P33" s="46">
        <f>18-15</f>
        <v>3</v>
      </c>
      <c r="Q33" s="46">
        <f>26-18</f>
        <v>8</v>
      </c>
      <c r="R33" s="45">
        <f>26-10</f>
        <v>16</v>
      </c>
      <c r="S33" s="27"/>
      <c r="T33" s="27"/>
      <c r="U33" s="28" t="s">
        <v>173</v>
      </c>
      <c r="V33" s="72">
        <v>0</v>
      </c>
      <c r="W33" s="72">
        <v>300000</v>
      </c>
      <c r="X33" s="72">
        <v>0</v>
      </c>
      <c r="Y33" s="72">
        <v>0</v>
      </c>
      <c r="Z33" s="72">
        <v>0</v>
      </c>
      <c r="AA33" s="72">
        <v>0</v>
      </c>
      <c r="AB33" s="59">
        <v>300000</v>
      </c>
      <c r="AC33" s="70">
        <v>0</v>
      </c>
      <c r="AD33" s="59">
        <v>700000</v>
      </c>
      <c r="AE33" s="59">
        <v>0</v>
      </c>
      <c r="AF33" s="59">
        <v>0</v>
      </c>
      <c r="AG33" s="70">
        <v>0</v>
      </c>
      <c r="AH33" s="70">
        <v>0</v>
      </c>
      <c r="AI33" s="59">
        <v>700000</v>
      </c>
      <c r="AJ33" s="64">
        <v>0</v>
      </c>
      <c r="AK33" s="64">
        <v>721000</v>
      </c>
      <c r="AL33" s="64">
        <v>0</v>
      </c>
      <c r="AM33" s="64">
        <v>0</v>
      </c>
      <c r="AN33" s="64">
        <v>0</v>
      </c>
      <c r="AO33" s="64">
        <v>0</v>
      </c>
      <c r="AP33" s="59">
        <v>721000</v>
      </c>
      <c r="AQ33" s="64">
        <v>0</v>
      </c>
      <c r="AR33" s="64">
        <v>742630</v>
      </c>
      <c r="AS33" s="64">
        <v>0</v>
      </c>
      <c r="AT33" s="64">
        <v>0</v>
      </c>
      <c r="AU33" s="64">
        <v>0</v>
      </c>
      <c r="AV33" s="64">
        <v>0</v>
      </c>
      <c r="AW33" s="59">
        <v>742630</v>
      </c>
    </row>
    <row r="34" spans="4:49" s="22" customFormat="1" ht="39" customHeight="1">
      <c r="D34" s="69"/>
      <c r="E34" s="87"/>
      <c r="F34" s="88"/>
      <c r="G34" s="88"/>
      <c r="H34" s="89"/>
      <c r="I34" s="74"/>
      <c r="J34" s="19" t="s">
        <v>212</v>
      </c>
      <c r="K34" s="19" t="s">
        <v>107</v>
      </c>
      <c r="L34" s="26">
        <v>15</v>
      </c>
      <c r="M34" s="26">
        <v>52</v>
      </c>
      <c r="N34" s="46">
        <f>20-15</f>
        <v>5</v>
      </c>
      <c r="O34" s="46">
        <f>30-20</f>
        <v>10</v>
      </c>
      <c r="P34" s="46">
        <f>40-30</f>
        <v>10</v>
      </c>
      <c r="Q34" s="46">
        <f>52-40</f>
        <v>12</v>
      </c>
      <c r="R34" s="45">
        <f>52-15</f>
        <v>37</v>
      </c>
      <c r="S34" s="27"/>
      <c r="T34" s="27"/>
      <c r="U34" s="28" t="s">
        <v>174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60">
        <v>0</v>
      </c>
      <c r="AC34" s="71">
        <v>0</v>
      </c>
      <c r="AD34" s="60">
        <v>0</v>
      </c>
      <c r="AE34" s="60">
        <v>0</v>
      </c>
      <c r="AF34" s="60">
        <v>0</v>
      </c>
      <c r="AG34" s="71">
        <v>0</v>
      </c>
      <c r="AH34" s="71">
        <v>0</v>
      </c>
      <c r="AI34" s="60">
        <v>0</v>
      </c>
      <c r="AJ34" s="65"/>
      <c r="AK34" s="65"/>
      <c r="AL34" s="65"/>
      <c r="AM34" s="65"/>
      <c r="AN34" s="65"/>
      <c r="AO34" s="65"/>
      <c r="AP34" s="60">
        <v>0</v>
      </c>
      <c r="AQ34" s="65"/>
      <c r="AR34" s="65"/>
      <c r="AS34" s="65"/>
      <c r="AT34" s="65"/>
      <c r="AU34" s="65"/>
      <c r="AV34" s="65"/>
      <c r="AW34" s="60">
        <v>0</v>
      </c>
    </row>
    <row r="35" spans="4:49" s="22" customFormat="1" ht="39.75" customHeight="1">
      <c r="D35" s="69"/>
      <c r="E35" s="87"/>
      <c r="F35" s="88"/>
      <c r="G35" s="88"/>
      <c r="H35" s="89"/>
      <c r="I35" s="75" t="s">
        <v>108</v>
      </c>
      <c r="J35" s="19" t="s">
        <v>213</v>
      </c>
      <c r="K35" s="19" t="s">
        <v>109</v>
      </c>
      <c r="L35" s="26">
        <v>12</v>
      </c>
      <c r="M35" s="26">
        <v>9</v>
      </c>
      <c r="N35" s="48">
        <v>11.5</v>
      </c>
      <c r="O35" s="9">
        <v>11</v>
      </c>
      <c r="P35" s="9">
        <v>10</v>
      </c>
      <c r="Q35" s="9">
        <v>9</v>
      </c>
      <c r="R35" s="45"/>
      <c r="S35" s="27"/>
      <c r="T35" s="27"/>
      <c r="U35" s="28" t="s">
        <v>175</v>
      </c>
      <c r="V35" s="94">
        <v>0</v>
      </c>
      <c r="W35" s="94">
        <v>1000000</v>
      </c>
      <c r="X35" s="94">
        <v>0</v>
      </c>
      <c r="Y35" s="94">
        <v>3179594.92</v>
      </c>
      <c r="Z35" s="94">
        <v>0</v>
      </c>
      <c r="AA35" s="94">
        <v>0</v>
      </c>
      <c r="AB35" s="56">
        <v>4179594.92</v>
      </c>
      <c r="AC35" s="66">
        <v>0</v>
      </c>
      <c r="AD35" s="56">
        <v>3500000</v>
      </c>
      <c r="AE35" s="56">
        <v>0</v>
      </c>
      <c r="AF35" s="56">
        <v>2053197.85944</v>
      </c>
      <c r="AG35" s="66">
        <v>0</v>
      </c>
      <c r="AH35" s="66">
        <v>0</v>
      </c>
      <c r="AI35" s="56">
        <v>5553197.8594399998</v>
      </c>
      <c r="AJ35" s="61">
        <v>0</v>
      </c>
      <c r="AK35" s="61">
        <v>3605000</v>
      </c>
      <c r="AL35" s="61">
        <v>0</v>
      </c>
      <c r="AM35" s="61">
        <v>2114793.7952232002</v>
      </c>
      <c r="AN35" s="61">
        <v>0</v>
      </c>
      <c r="AO35" s="61">
        <v>0</v>
      </c>
      <c r="AP35" s="56">
        <v>5719793.7952232007</v>
      </c>
      <c r="AQ35" s="61">
        <v>0</v>
      </c>
      <c r="AR35" s="61">
        <v>3713150</v>
      </c>
      <c r="AS35" s="61">
        <v>0</v>
      </c>
      <c r="AT35" s="61">
        <v>2178237.6090798965</v>
      </c>
      <c r="AU35" s="61">
        <v>0</v>
      </c>
      <c r="AV35" s="61">
        <v>0</v>
      </c>
      <c r="AW35" s="56">
        <v>5891387.6090798965</v>
      </c>
    </row>
    <row r="36" spans="4:49" s="22" customFormat="1" ht="45.75" customHeight="1">
      <c r="D36" s="69"/>
      <c r="E36" s="87"/>
      <c r="F36" s="88"/>
      <c r="G36" s="88"/>
      <c r="H36" s="89"/>
      <c r="I36" s="76"/>
      <c r="J36" s="19" t="s">
        <v>214</v>
      </c>
      <c r="K36" s="19" t="s">
        <v>110</v>
      </c>
      <c r="L36" s="26">
        <v>3664</v>
      </c>
      <c r="M36" s="26">
        <v>4064</v>
      </c>
      <c r="N36" s="46">
        <f>3700-3664</f>
        <v>36</v>
      </c>
      <c r="O36" s="46">
        <f>3850-3700</f>
        <v>150</v>
      </c>
      <c r="P36" s="46">
        <f>3950-3850</f>
        <v>100</v>
      </c>
      <c r="Q36" s="46">
        <f>4064-3950</f>
        <v>114</v>
      </c>
      <c r="R36" s="45">
        <f>4064-3664</f>
        <v>400</v>
      </c>
      <c r="S36" s="27"/>
      <c r="T36" s="27"/>
      <c r="U36" s="28" t="s">
        <v>175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57">
        <v>0</v>
      </c>
      <c r="AC36" s="69">
        <v>0</v>
      </c>
      <c r="AD36" s="57">
        <v>0</v>
      </c>
      <c r="AE36" s="57">
        <v>0</v>
      </c>
      <c r="AF36" s="57">
        <v>0</v>
      </c>
      <c r="AG36" s="69">
        <v>0</v>
      </c>
      <c r="AH36" s="69">
        <v>0</v>
      </c>
      <c r="AI36" s="57">
        <v>0</v>
      </c>
      <c r="AJ36" s="62"/>
      <c r="AK36" s="62"/>
      <c r="AL36" s="62"/>
      <c r="AM36" s="62"/>
      <c r="AN36" s="62"/>
      <c r="AO36" s="62"/>
      <c r="AP36" s="57">
        <v>0</v>
      </c>
      <c r="AQ36" s="62"/>
      <c r="AR36" s="62"/>
      <c r="AS36" s="62"/>
      <c r="AT36" s="62"/>
      <c r="AU36" s="62"/>
      <c r="AV36" s="62"/>
      <c r="AW36" s="57">
        <v>0</v>
      </c>
    </row>
    <row r="37" spans="4:49" s="22" customFormat="1" ht="36" customHeight="1">
      <c r="D37" s="69"/>
      <c r="E37" s="87"/>
      <c r="F37" s="88"/>
      <c r="G37" s="88"/>
      <c r="H37" s="89"/>
      <c r="I37" s="76"/>
      <c r="J37" s="19" t="s">
        <v>215</v>
      </c>
      <c r="K37" s="19" t="s">
        <v>111</v>
      </c>
      <c r="L37" s="26" t="s">
        <v>95</v>
      </c>
      <c r="M37" s="26">
        <v>300</v>
      </c>
      <c r="N37" s="46">
        <v>50</v>
      </c>
      <c r="O37" s="46">
        <f>150-50</f>
        <v>100</v>
      </c>
      <c r="P37" s="46">
        <f>230-150</f>
        <v>80</v>
      </c>
      <c r="Q37" s="46">
        <f>300-230</f>
        <v>70</v>
      </c>
      <c r="R37" s="45"/>
      <c r="S37" s="27"/>
      <c r="T37" s="27"/>
      <c r="U37" s="28" t="s">
        <v>175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57">
        <v>0</v>
      </c>
      <c r="AC37" s="69">
        <v>0</v>
      </c>
      <c r="AD37" s="57">
        <v>0</v>
      </c>
      <c r="AE37" s="57">
        <v>0</v>
      </c>
      <c r="AF37" s="57">
        <v>0</v>
      </c>
      <c r="AG37" s="69">
        <v>0</v>
      </c>
      <c r="AH37" s="69">
        <v>0</v>
      </c>
      <c r="AI37" s="57">
        <v>0</v>
      </c>
      <c r="AJ37" s="62"/>
      <c r="AK37" s="62"/>
      <c r="AL37" s="62"/>
      <c r="AM37" s="62"/>
      <c r="AN37" s="62"/>
      <c r="AO37" s="62"/>
      <c r="AP37" s="57">
        <v>0</v>
      </c>
      <c r="AQ37" s="62"/>
      <c r="AR37" s="62"/>
      <c r="AS37" s="62"/>
      <c r="AT37" s="62"/>
      <c r="AU37" s="62"/>
      <c r="AV37" s="62"/>
      <c r="AW37" s="57">
        <v>0</v>
      </c>
    </row>
    <row r="38" spans="4:49" s="22" customFormat="1" ht="33.75">
      <c r="D38" s="69"/>
      <c r="E38" s="87"/>
      <c r="F38" s="88"/>
      <c r="G38" s="88"/>
      <c r="H38" s="89"/>
      <c r="I38" s="77"/>
      <c r="J38" s="19" t="s">
        <v>216</v>
      </c>
      <c r="K38" s="19" t="s">
        <v>112</v>
      </c>
      <c r="L38" s="26" t="s">
        <v>95</v>
      </c>
      <c r="M38" s="26">
        <v>3000</v>
      </c>
      <c r="N38" s="46">
        <v>200</v>
      </c>
      <c r="O38" s="46">
        <f>1000-200</f>
        <v>800</v>
      </c>
      <c r="P38" s="46">
        <f>2000-1000</f>
        <v>1000</v>
      </c>
      <c r="Q38" s="46">
        <f>3000-2000</f>
        <v>1000</v>
      </c>
      <c r="R38" s="45"/>
      <c r="S38" s="27"/>
      <c r="T38" s="27"/>
      <c r="U38" s="28" t="s">
        <v>175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58">
        <v>0</v>
      </c>
      <c r="AC38" s="67">
        <v>0</v>
      </c>
      <c r="AD38" s="58">
        <v>0</v>
      </c>
      <c r="AE38" s="58">
        <v>0</v>
      </c>
      <c r="AF38" s="58">
        <v>0</v>
      </c>
      <c r="AG38" s="67">
        <v>0</v>
      </c>
      <c r="AH38" s="67">
        <v>0</v>
      </c>
      <c r="AI38" s="58">
        <v>0</v>
      </c>
      <c r="AJ38" s="63"/>
      <c r="AK38" s="63"/>
      <c r="AL38" s="63"/>
      <c r="AM38" s="63"/>
      <c r="AN38" s="63"/>
      <c r="AO38" s="63"/>
      <c r="AP38" s="58">
        <v>0</v>
      </c>
      <c r="AQ38" s="63"/>
      <c r="AR38" s="63"/>
      <c r="AS38" s="63"/>
      <c r="AT38" s="63"/>
      <c r="AU38" s="63"/>
      <c r="AV38" s="63"/>
      <c r="AW38" s="58">
        <v>0</v>
      </c>
    </row>
    <row r="39" spans="4:49" s="22" customFormat="1" ht="22.5">
      <c r="D39" s="69"/>
      <c r="E39" s="87"/>
      <c r="F39" s="88"/>
      <c r="G39" s="88"/>
      <c r="H39" s="89"/>
      <c r="I39" s="93" t="s">
        <v>113</v>
      </c>
      <c r="J39" s="35" t="s">
        <v>217</v>
      </c>
      <c r="K39" s="35" t="s">
        <v>114</v>
      </c>
      <c r="L39" s="36">
        <v>0</v>
      </c>
      <c r="M39" s="36">
        <v>1</v>
      </c>
      <c r="N39" s="9">
        <v>0</v>
      </c>
      <c r="O39" s="48">
        <v>0.3</v>
      </c>
      <c r="P39" s="48">
        <v>0.7</v>
      </c>
      <c r="Q39" s="9">
        <v>0</v>
      </c>
      <c r="R39" s="45"/>
      <c r="S39" s="27"/>
      <c r="T39" s="27"/>
      <c r="U39" s="28" t="s">
        <v>176</v>
      </c>
      <c r="V39" s="72">
        <v>0</v>
      </c>
      <c r="W39" s="72">
        <v>427000</v>
      </c>
      <c r="X39" s="72">
        <v>0</v>
      </c>
      <c r="Y39" s="72">
        <v>0</v>
      </c>
      <c r="Z39" s="72">
        <v>0</v>
      </c>
      <c r="AA39" s="72">
        <v>0</v>
      </c>
      <c r="AB39" s="59">
        <v>427000</v>
      </c>
      <c r="AC39" s="70">
        <v>0</v>
      </c>
      <c r="AD39" s="59">
        <v>2500000</v>
      </c>
      <c r="AE39" s="59">
        <v>0</v>
      </c>
      <c r="AF39" s="59">
        <v>500000</v>
      </c>
      <c r="AG39" s="70">
        <v>0</v>
      </c>
      <c r="AH39" s="70">
        <v>0</v>
      </c>
      <c r="AI39" s="59">
        <v>3000000</v>
      </c>
      <c r="AJ39" s="64">
        <v>0</v>
      </c>
      <c r="AK39" s="64">
        <v>2575000</v>
      </c>
      <c r="AL39" s="64">
        <v>0</v>
      </c>
      <c r="AM39" s="64">
        <v>515000</v>
      </c>
      <c r="AN39" s="64">
        <v>0</v>
      </c>
      <c r="AO39" s="64">
        <v>0</v>
      </c>
      <c r="AP39" s="59">
        <v>3090000</v>
      </c>
      <c r="AQ39" s="64">
        <v>0</v>
      </c>
      <c r="AR39" s="64">
        <v>2652250</v>
      </c>
      <c r="AS39" s="64">
        <v>0</v>
      </c>
      <c r="AT39" s="64">
        <v>530450</v>
      </c>
      <c r="AU39" s="64">
        <v>0</v>
      </c>
      <c r="AV39" s="64">
        <v>0</v>
      </c>
      <c r="AW39" s="59">
        <v>3182700</v>
      </c>
    </row>
    <row r="40" spans="4:49" s="22" customFormat="1" ht="33.75">
      <c r="D40" s="69"/>
      <c r="E40" s="87"/>
      <c r="F40" s="88"/>
      <c r="G40" s="88"/>
      <c r="H40" s="89"/>
      <c r="I40" s="74"/>
      <c r="J40" s="19" t="s">
        <v>218</v>
      </c>
      <c r="K40" s="19" t="s">
        <v>115</v>
      </c>
      <c r="L40" s="26">
        <v>0</v>
      </c>
      <c r="M40" s="26">
        <v>15</v>
      </c>
      <c r="N40" s="9">
        <v>0</v>
      </c>
      <c r="O40" s="9">
        <v>0</v>
      </c>
      <c r="P40" s="9">
        <v>8</v>
      </c>
      <c r="Q40" s="46">
        <f>15-8</f>
        <v>7</v>
      </c>
      <c r="R40" s="45"/>
      <c r="S40" s="27"/>
      <c r="T40" s="27"/>
      <c r="U40" s="28" t="s">
        <v>176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60">
        <v>0</v>
      </c>
      <c r="AC40" s="71">
        <v>0</v>
      </c>
      <c r="AD40" s="60">
        <v>0</v>
      </c>
      <c r="AE40" s="60">
        <v>0</v>
      </c>
      <c r="AF40" s="60">
        <v>0</v>
      </c>
      <c r="AG40" s="71">
        <v>0</v>
      </c>
      <c r="AH40" s="71">
        <v>0</v>
      </c>
      <c r="AI40" s="60">
        <v>0</v>
      </c>
      <c r="AJ40" s="65"/>
      <c r="AK40" s="65"/>
      <c r="AL40" s="65"/>
      <c r="AM40" s="65"/>
      <c r="AN40" s="65"/>
      <c r="AO40" s="65"/>
      <c r="AP40" s="60">
        <v>0</v>
      </c>
      <c r="AQ40" s="65"/>
      <c r="AR40" s="65"/>
      <c r="AS40" s="65"/>
      <c r="AT40" s="65"/>
      <c r="AU40" s="65"/>
      <c r="AV40" s="65"/>
      <c r="AW40" s="60">
        <v>0</v>
      </c>
    </row>
    <row r="41" spans="4:49" s="22" customFormat="1" ht="33.75">
      <c r="D41" s="69"/>
      <c r="E41" s="87"/>
      <c r="F41" s="88"/>
      <c r="G41" s="88"/>
      <c r="H41" s="89"/>
      <c r="I41" s="41"/>
      <c r="J41" s="32" t="s">
        <v>249</v>
      </c>
      <c r="K41" s="55" t="s">
        <v>240</v>
      </c>
      <c r="L41" s="43">
        <v>0</v>
      </c>
      <c r="M41" s="43">
        <v>52</v>
      </c>
      <c r="N41" s="44">
        <v>15</v>
      </c>
      <c r="O41" s="44">
        <f>25-15</f>
        <v>10</v>
      </c>
      <c r="P41" s="44">
        <f>40-25</f>
        <v>15</v>
      </c>
      <c r="Q41" s="44">
        <f>52-40</f>
        <v>12</v>
      </c>
      <c r="R41" s="45"/>
      <c r="S41" s="27"/>
      <c r="T41" s="27"/>
      <c r="U41" s="28" t="s">
        <v>161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2">
        <v>0</v>
      </c>
      <c r="AC41" s="23">
        <v>0</v>
      </c>
      <c r="AD41" s="12">
        <v>2000000</v>
      </c>
      <c r="AE41" s="12">
        <v>0</v>
      </c>
      <c r="AF41" s="12">
        <v>0</v>
      </c>
      <c r="AG41" s="23">
        <v>0</v>
      </c>
      <c r="AH41" s="23">
        <v>0</v>
      </c>
      <c r="AI41" s="12">
        <v>2000000</v>
      </c>
      <c r="AJ41" s="11">
        <v>0</v>
      </c>
      <c r="AK41" s="11">
        <v>2060000</v>
      </c>
      <c r="AL41" s="11">
        <v>0</v>
      </c>
      <c r="AM41" s="11">
        <v>0</v>
      </c>
      <c r="AN41" s="11">
        <v>0</v>
      </c>
      <c r="AO41" s="11">
        <v>0</v>
      </c>
      <c r="AP41" s="12">
        <v>2060000</v>
      </c>
      <c r="AQ41" s="11">
        <v>0</v>
      </c>
      <c r="AR41" s="11">
        <v>2121800</v>
      </c>
      <c r="AS41" s="11">
        <v>0</v>
      </c>
      <c r="AT41" s="11">
        <v>0</v>
      </c>
      <c r="AU41" s="11">
        <v>0</v>
      </c>
      <c r="AV41" s="11">
        <v>0</v>
      </c>
      <c r="AW41" s="12">
        <v>2121800</v>
      </c>
    </row>
    <row r="42" spans="4:49" s="22" customFormat="1" ht="42" customHeight="1">
      <c r="D42" s="67"/>
      <c r="E42" s="90"/>
      <c r="F42" s="91"/>
      <c r="G42" s="91"/>
      <c r="H42" s="92"/>
      <c r="I42" s="14" t="s">
        <v>116</v>
      </c>
      <c r="J42" s="35" t="s">
        <v>219</v>
      </c>
      <c r="K42" s="35" t="s">
        <v>117</v>
      </c>
      <c r="L42" s="36">
        <v>40</v>
      </c>
      <c r="M42" s="36">
        <v>60</v>
      </c>
      <c r="N42" s="46">
        <f>43-40</f>
        <v>3</v>
      </c>
      <c r="O42" s="46">
        <f>48-43</f>
        <v>5</v>
      </c>
      <c r="P42" s="46">
        <f>52-48</f>
        <v>4</v>
      </c>
      <c r="Q42" s="46">
        <f>60-52</f>
        <v>8</v>
      </c>
      <c r="R42" s="45">
        <f>60-40</f>
        <v>20</v>
      </c>
      <c r="S42" s="27"/>
      <c r="T42" s="27"/>
      <c r="U42" s="28" t="s">
        <v>161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2">
        <v>0</v>
      </c>
      <c r="AC42" s="23">
        <v>0</v>
      </c>
      <c r="AD42" s="12">
        <v>1200000</v>
      </c>
      <c r="AE42" s="12">
        <v>0</v>
      </c>
      <c r="AF42" s="12">
        <v>0</v>
      </c>
      <c r="AG42" s="23">
        <v>0</v>
      </c>
      <c r="AH42" s="23">
        <v>0</v>
      </c>
      <c r="AI42" s="12">
        <v>1200000</v>
      </c>
      <c r="AJ42" s="11">
        <v>0</v>
      </c>
      <c r="AK42" s="11">
        <v>1236000</v>
      </c>
      <c r="AL42" s="11">
        <v>0</v>
      </c>
      <c r="AM42" s="11">
        <v>0</v>
      </c>
      <c r="AN42" s="11">
        <v>0</v>
      </c>
      <c r="AO42" s="11">
        <v>0</v>
      </c>
      <c r="AP42" s="12">
        <v>1236000</v>
      </c>
      <c r="AQ42" s="11">
        <v>0</v>
      </c>
      <c r="AR42" s="11">
        <v>1273080</v>
      </c>
      <c r="AS42" s="11">
        <v>0</v>
      </c>
      <c r="AT42" s="11">
        <v>0</v>
      </c>
      <c r="AU42" s="11">
        <v>0</v>
      </c>
      <c r="AV42" s="11">
        <v>0</v>
      </c>
      <c r="AW42" s="12">
        <v>1273080</v>
      </c>
    </row>
    <row r="43" spans="4:49" s="22" customFormat="1" ht="45">
      <c r="D43" s="83" t="s">
        <v>120</v>
      </c>
      <c r="E43" s="37" t="s">
        <v>121</v>
      </c>
      <c r="F43" s="29" t="s">
        <v>122</v>
      </c>
      <c r="G43" s="40" t="s">
        <v>95</v>
      </c>
      <c r="H43" s="33">
        <v>0.7</v>
      </c>
      <c r="I43" s="14" t="s">
        <v>118</v>
      </c>
      <c r="J43" s="35" t="s">
        <v>220</v>
      </c>
      <c r="K43" s="35" t="s">
        <v>119</v>
      </c>
      <c r="L43" s="36">
        <v>0</v>
      </c>
      <c r="M43" s="36">
        <v>60</v>
      </c>
      <c r="N43" s="46">
        <v>5</v>
      </c>
      <c r="O43" s="46">
        <f>20-5</f>
        <v>15</v>
      </c>
      <c r="P43" s="46">
        <f>40-20</f>
        <v>20</v>
      </c>
      <c r="Q43" s="46">
        <f>60-40</f>
        <v>20</v>
      </c>
      <c r="R43" s="45"/>
      <c r="S43" s="27"/>
      <c r="T43" s="27"/>
      <c r="U43" s="28" t="s">
        <v>161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2">
        <v>0</v>
      </c>
      <c r="AC43" s="23">
        <v>0</v>
      </c>
      <c r="AD43" s="12">
        <v>300000</v>
      </c>
      <c r="AE43" s="12">
        <v>0</v>
      </c>
      <c r="AF43" s="12">
        <v>0</v>
      </c>
      <c r="AG43" s="23">
        <v>0</v>
      </c>
      <c r="AH43" s="23">
        <v>0</v>
      </c>
      <c r="AI43" s="12">
        <v>300000</v>
      </c>
      <c r="AJ43" s="11">
        <v>0</v>
      </c>
      <c r="AK43" s="11">
        <v>309000</v>
      </c>
      <c r="AL43" s="11">
        <v>0</v>
      </c>
      <c r="AM43" s="11">
        <v>0</v>
      </c>
      <c r="AN43" s="11">
        <v>0</v>
      </c>
      <c r="AO43" s="11">
        <v>0</v>
      </c>
      <c r="AP43" s="12">
        <v>309000</v>
      </c>
      <c r="AQ43" s="11">
        <v>0</v>
      </c>
      <c r="AR43" s="11">
        <v>318270</v>
      </c>
      <c r="AS43" s="11">
        <v>0</v>
      </c>
      <c r="AT43" s="11">
        <v>0</v>
      </c>
      <c r="AU43" s="11">
        <v>0</v>
      </c>
      <c r="AV43" s="11">
        <v>0</v>
      </c>
      <c r="AW43" s="12">
        <v>318270</v>
      </c>
    </row>
    <row r="44" spans="4:49" s="22" customFormat="1" ht="47.25" customHeight="1">
      <c r="D44" s="83"/>
      <c r="E44" s="37" t="s">
        <v>125</v>
      </c>
      <c r="F44" s="29" t="s">
        <v>126</v>
      </c>
      <c r="G44" s="33">
        <v>0.52</v>
      </c>
      <c r="H44" s="33">
        <v>0.8</v>
      </c>
      <c r="I44" s="75" t="s">
        <v>123</v>
      </c>
      <c r="J44" s="32" t="s">
        <v>124</v>
      </c>
      <c r="K44" s="32" t="s">
        <v>124</v>
      </c>
      <c r="L44" s="26">
        <v>0</v>
      </c>
      <c r="M44" s="26">
        <v>1</v>
      </c>
      <c r="N44" s="9">
        <v>0</v>
      </c>
      <c r="O44" s="48" t="s">
        <v>247</v>
      </c>
      <c r="P44" s="48" t="s">
        <v>246</v>
      </c>
      <c r="Q44" s="48" t="s">
        <v>248</v>
      </c>
      <c r="R44" s="45"/>
      <c r="S44" s="27"/>
      <c r="T44" s="27"/>
      <c r="U44" s="28" t="s">
        <v>177</v>
      </c>
      <c r="V44" s="61">
        <v>0</v>
      </c>
      <c r="W44" s="61">
        <v>272000</v>
      </c>
      <c r="X44" s="61">
        <v>0</v>
      </c>
      <c r="Y44" s="61">
        <v>0</v>
      </c>
      <c r="Z44" s="61">
        <v>0</v>
      </c>
      <c r="AA44" s="61">
        <v>0</v>
      </c>
      <c r="AB44" s="56">
        <v>272000</v>
      </c>
      <c r="AC44" s="66">
        <v>0</v>
      </c>
      <c r="AD44" s="56">
        <v>4901500</v>
      </c>
      <c r="AE44" s="66">
        <v>0</v>
      </c>
      <c r="AF44" s="66">
        <v>0</v>
      </c>
      <c r="AG44" s="66">
        <v>0</v>
      </c>
      <c r="AH44" s="66">
        <v>0</v>
      </c>
      <c r="AI44" s="56">
        <v>4901500</v>
      </c>
      <c r="AJ44" s="61">
        <v>0</v>
      </c>
      <c r="AK44" s="61">
        <v>5048545</v>
      </c>
      <c r="AL44" s="61">
        <v>0</v>
      </c>
      <c r="AM44" s="61">
        <v>0</v>
      </c>
      <c r="AN44" s="61">
        <v>0</v>
      </c>
      <c r="AO44" s="61">
        <v>0</v>
      </c>
      <c r="AP44" s="56">
        <v>5048545</v>
      </c>
      <c r="AQ44" s="61">
        <v>0</v>
      </c>
      <c r="AR44" s="61">
        <v>5200001.3500000006</v>
      </c>
      <c r="AS44" s="61">
        <v>0</v>
      </c>
      <c r="AT44" s="61">
        <v>0</v>
      </c>
      <c r="AU44" s="61">
        <v>0</v>
      </c>
      <c r="AV44" s="61">
        <v>0</v>
      </c>
      <c r="AW44" s="56">
        <v>5200001.3500000006</v>
      </c>
    </row>
    <row r="45" spans="4:49" s="22" customFormat="1" ht="36.75" customHeight="1">
      <c r="D45" s="83"/>
      <c r="E45" s="37" t="s">
        <v>128</v>
      </c>
      <c r="F45" s="29" t="s">
        <v>129</v>
      </c>
      <c r="G45" s="40">
        <v>8</v>
      </c>
      <c r="H45" s="40">
        <v>30</v>
      </c>
      <c r="I45" s="76"/>
      <c r="J45" s="32" t="s">
        <v>127</v>
      </c>
      <c r="K45" s="32" t="s">
        <v>127</v>
      </c>
      <c r="L45" s="26">
        <v>0</v>
      </c>
      <c r="M45" s="26">
        <v>1</v>
      </c>
      <c r="N45" s="9">
        <v>0</v>
      </c>
      <c r="O45" s="9">
        <v>1</v>
      </c>
      <c r="P45" s="9">
        <v>0</v>
      </c>
      <c r="Q45" s="9">
        <v>0</v>
      </c>
      <c r="R45" s="45"/>
      <c r="S45" s="27"/>
      <c r="T45" s="27"/>
      <c r="U45" s="28" t="s">
        <v>177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57">
        <v>0</v>
      </c>
      <c r="AC45" s="69">
        <v>0</v>
      </c>
      <c r="AD45" s="57">
        <v>0</v>
      </c>
      <c r="AE45" s="69">
        <v>0</v>
      </c>
      <c r="AF45" s="69">
        <v>0</v>
      </c>
      <c r="AG45" s="69">
        <v>0</v>
      </c>
      <c r="AH45" s="69">
        <v>0</v>
      </c>
      <c r="AI45" s="57">
        <v>0</v>
      </c>
      <c r="AJ45" s="62"/>
      <c r="AK45" s="62"/>
      <c r="AL45" s="62"/>
      <c r="AM45" s="62"/>
      <c r="AN45" s="62"/>
      <c r="AO45" s="62"/>
      <c r="AP45" s="57">
        <v>0</v>
      </c>
      <c r="AQ45" s="62"/>
      <c r="AR45" s="62"/>
      <c r="AS45" s="62"/>
      <c r="AT45" s="62"/>
      <c r="AU45" s="62"/>
      <c r="AV45" s="62"/>
      <c r="AW45" s="57">
        <v>0</v>
      </c>
    </row>
    <row r="46" spans="4:49" s="22" customFormat="1" ht="39" customHeight="1">
      <c r="D46" s="83"/>
      <c r="E46" s="84"/>
      <c r="F46" s="85"/>
      <c r="G46" s="85"/>
      <c r="H46" s="86"/>
      <c r="I46" s="76"/>
      <c r="J46" s="32" t="s">
        <v>234</v>
      </c>
      <c r="K46" s="32" t="s">
        <v>234</v>
      </c>
      <c r="L46" s="26">
        <v>28</v>
      </c>
      <c r="M46" s="26">
        <v>15</v>
      </c>
      <c r="N46" s="26">
        <v>25</v>
      </c>
      <c r="O46" s="26">
        <v>15</v>
      </c>
      <c r="P46" s="26">
        <v>15</v>
      </c>
      <c r="Q46" s="26">
        <v>15</v>
      </c>
      <c r="R46" s="45"/>
      <c r="S46" s="27"/>
      <c r="T46" s="27"/>
      <c r="U46" s="28" t="s">
        <v>178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57">
        <v>0</v>
      </c>
      <c r="AC46" s="69">
        <v>0</v>
      </c>
      <c r="AD46" s="57">
        <v>0</v>
      </c>
      <c r="AE46" s="69">
        <v>0</v>
      </c>
      <c r="AF46" s="69">
        <v>0</v>
      </c>
      <c r="AG46" s="69">
        <v>0</v>
      </c>
      <c r="AH46" s="69">
        <v>0</v>
      </c>
      <c r="AI46" s="57">
        <v>0</v>
      </c>
      <c r="AJ46" s="62"/>
      <c r="AK46" s="62"/>
      <c r="AL46" s="62"/>
      <c r="AM46" s="62"/>
      <c r="AN46" s="62"/>
      <c r="AO46" s="62"/>
      <c r="AP46" s="57">
        <v>0</v>
      </c>
      <c r="AQ46" s="62"/>
      <c r="AR46" s="62"/>
      <c r="AS46" s="62"/>
      <c r="AT46" s="62"/>
      <c r="AU46" s="62"/>
      <c r="AV46" s="62"/>
      <c r="AW46" s="57">
        <v>0</v>
      </c>
    </row>
    <row r="47" spans="4:49" s="22" customFormat="1" ht="45" customHeight="1">
      <c r="D47" s="83"/>
      <c r="E47" s="87"/>
      <c r="F47" s="88"/>
      <c r="G47" s="88"/>
      <c r="H47" s="89"/>
      <c r="I47" s="76"/>
      <c r="J47" s="32" t="s">
        <v>221</v>
      </c>
      <c r="K47" s="32" t="s">
        <v>130</v>
      </c>
      <c r="L47" s="26">
        <v>50</v>
      </c>
      <c r="M47" s="26">
        <v>300</v>
      </c>
      <c r="N47" s="46">
        <f>80-50</f>
        <v>30</v>
      </c>
      <c r="O47" s="46">
        <f>100-80</f>
        <v>20</v>
      </c>
      <c r="P47" s="46">
        <f>150-100</f>
        <v>50</v>
      </c>
      <c r="Q47" s="46">
        <f>300-150</f>
        <v>150</v>
      </c>
      <c r="R47" s="45">
        <f>300-50</f>
        <v>250</v>
      </c>
      <c r="S47" s="27"/>
      <c r="T47" s="27"/>
      <c r="U47" s="28" t="s">
        <v>179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57">
        <v>0</v>
      </c>
      <c r="AC47" s="69">
        <v>0</v>
      </c>
      <c r="AD47" s="57">
        <v>0</v>
      </c>
      <c r="AE47" s="69">
        <v>0</v>
      </c>
      <c r="AF47" s="69">
        <v>0</v>
      </c>
      <c r="AG47" s="69">
        <v>0</v>
      </c>
      <c r="AH47" s="69">
        <v>0</v>
      </c>
      <c r="AI47" s="57">
        <v>0</v>
      </c>
      <c r="AJ47" s="62"/>
      <c r="AK47" s="62"/>
      <c r="AL47" s="62"/>
      <c r="AM47" s="62"/>
      <c r="AN47" s="62"/>
      <c r="AO47" s="62"/>
      <c r="AP47" s="57">
        <v>0</v>
      </c>
      <c r="AQ47" s="62"/>
      <c r="AR47" s="62"/>
      <c r="AS47" s="62"/>
      <c r="AT47" s="62"/>
      <c r="AU47" s="62"/>
      <c r="AV47" s="62"/>
      <c r="AW47" s="57">
        <v>0</v>
      </c>
    </row>
    <row r="48" spans="4:49" s="22" customFormat="1" ht="33.75" customHeight="1">
      <c r="D48" s="83"/>
      <c r="E48" s="87"/>
      <c r="F48" s="88"/>
      <c r="G48" s="88"/>
      <c r="H48" s="89"/>
      <c r="I48" s="76"/>
      <c r="J48" s="32" t="s">
        <v>131</v>
      </c>
      <c r="K48" s="32" t="s">
        <v>131</v>
      </c>
      <c r="L48" s="26">
        <v>0</v>
      </c>
      <c r="M48" s="26">
        <v>1</v>
      </c>
      <c r="N48" s="9">
        <v>0</v>
      </c>
      <c r="O48" s="46" t="s">
        <v>241</v>
      </c>
      <c r="P48" s="46" t="s">
        <v>242</v>
      </c>
      <c r="Q48" s="9">
        <v>0</v>
      </c>
      <c r="R48" s="45"/>
      <c r="S48" s="27"/>
      <c r="T48" s="27"/>
      <c r="U48" s="28" t="s">
        <v>177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57">
        <v>0</v>
      </c>
      <c r="AC48" s="69">
        <v>0</v>
      </c>
      <c r="AD48" s="57">
        <v>0</v>
      </c>
      <c r="AE48" s="69">
        <v>0</v>
      </c>
      <c r="AF48" s="69">
        <v>0</v>
      </c>
      <c r="AG48" s="69">
        <v>0</v>
      </c>
      <c r="AH48" s="69">
        <v>0</v>
      </c>
      <c r="AI48" s="57">
        <v>0</v>
      </c>
      <c r="AJ48" s="62"/>
      <c r="AK48" s="62"/>
      <c r="AL48" s="62"/>
      <c r="AM48" s="62"/>
      <c r="AN48" s="62"/>
      <c r="AO48" s="62"/>
      <c r="AP48" s="57">
        <v>0</v>
      </c>
      <c r="AQ48" s="62"/>
      <c r="AR48" s="62"/>
      <c r="AS48" s="62"/>
      <c r="AT48" s="62"/>
      <c r="AU48" s="62"/>
      <c r="AV48" s="62"/>
      <c r="AW48" s="57">
        <v>0</v>
      </c>
    </row>
    <row r="49" spans="4:49" s="22" customFormat="1" ht="22.5">
      <c r="D49" s="83"/>
      <c r="E49" s="87"/>
      <c r="F49" s="88"/>
      <c r="G49" s="88"/>
      <c r="H49" s="89"/>
      <c r="I49" s="77"/>
      <c r="J49" s="32" t="s">
        <v>222</v>
      </c>
      <c r="K49" s="32" t="s">
        <v>132</v>
      </c>
      <c r="L49" s="26">
        <v>15</v>
      </c>
      <c r="M49" s="26">
        <v>24</v>
      </c>
      <c r="N49" s="46">
        <f>17-15</f>
        <v>2</v>
      </c>
      <c r="O49" s="46">
        <f>19-17</f>
        <v>2</v>
      </c>
      <c r="P49" s="46">
        <f>22-19</f>
        <v>3</v>
      </c>
      <c r="Q49" s="46">
        <f>24-22</f>
        <v>2</v>
      </c>
      <c r="R49" s="45">
        <f>24-15</f>
        <v>9</v>
      </c>
      <c r="S49" s="27"/>
      <c r="T49" s="27"/>
      <c r="U49" s="28" t="s">
        <v>177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58">
        <v>0</v>
      </c>
      <c r="AC49" s="67">
        <v>0</v>
      </c>
      <c r="AD49" s="58">
        <v>0</v>
      </c>
      <c r="AE49" s="67">
        <v>0</v>
      </c>
      <c r="AF49" s="67">
        <v>0</v>
      </c>
      <c r="AG49" s="67">
        <v>0</v>
      </c>
      <c r="AH49" s="67">
        <v>0</v>
      </c>
      <c r="AI49" s="58">
        <v>0</v>
      </c>
      <c r="AJ49" s="63"/>
      <c r="AK49" s="63"/>
      <c r="AL49" s="63"/>
      <c r="AM49" s="63"/>
      <c r="AN49" s="63"/>
      <c r="AO49" s="63"/>
      <c r="AP49" s="58">
        <v>0</v>
      </c>
      <c r="AQ49" s="63"/>
      <c r="AR49" s="63"/>
      <c r="AS49" s="63"/>
      <c r="AT49" s="63"/>
      <c r="AU49" s="63"/>
      <c r="AV49" s="63"/>
      <c r="AW49" s="58">
        <v>0</v>
      </c>
    </row>
    <row r="50" spans="4:49" s="22" customFormat="1" ht="33.75">
      <c r="D50" s="83"/>
      <c r="E50" s="87"/>
      <c r="F50" s="88"/>
      <c r="G50" s="88"/>
      <c r="H50" s="89"/>
      <c r="I50" s="75" t="s">
        <v>133</v>
      </c>
      <c r="J50" s="32" t="s">
        <v>134</v>
      </c>
      <c r="K50" s="32" t="s">
        <v>134</v>
      </c>
      <c r="L50" s="26">
        <v>0</v>
      </c>
      <c r="M50" s="26">
        <v>1</v>
      </c>
      <c r="N50" s="9">
        <v>0</v>
      </c>
      <c r="O50" s="9">
        <v>1</v>
      </c>
      <c r="P50" s="9">
        <v>0</v>
      </c>
      <c r="Q50" s="9">
        <v>0</v>
      </c>
      <c r="R50" s="45"/>
      <c r="S50" s="27"/>
      <c r="T50" s="27"/>
      <c r="U50" s="28" t="s">
        <v>177</v>
      </c>
      <c r="V50" s="61">
        <v>0</v>
      </c>
      <c r="W50" s="61">
        <v>100000</v>
      </c>
      <c r="X50" s="61">
        <v>0</v>
      </c>
      <c r="Y50" s="61">
        <v>0</v>
      </c>
      <c r="Z50" s="61">
        <v>0</v>
      </c>
      <c r="AA50" s="61">
        <v>0</v>
      </c>
      <c r="AB50" s="56">
        <v>100000</v>
      </c>
      <c r="AC50" s="66">
        <v>0</v>
      </c>
      <c r="AD50" s="56">
        <v>237000</v>
      </c>
      <c r="AE50" s="66">
        <v>0</v>
      </c>
      <c r="AF50" s="66">
        <v>0</v>
      </c>
      <c r="AG50" s="66">
        <v>0</v>
      </c>
      <c r="AH50" s="66">
        <v>0</v>
      </c>
      <c r="AI50" s="56">
        <v>237000</v>
      </c>
      <c r="AJ50" s="61">
        <v>0</v>
      </c>
      <c r="AK50" s="61">
        <v>244110</v>
      </c>
      <c r="AL50" s="61">
        <v>0</v>
      </c>
      <c r="AM50" s="61">
        <v>0</v>
      </c>
      <c r="AN50" s="61">
        <v>0</v>
      </c>
      <c r="AO50" s="61">
        <v>0</v>
      </c>
      <c r="AP50" s="56">
        <v>244110</v>
      </c>
      <c r="AQ50" s="61">
        <v>0</v>
      </c>
      <c r="AR50" s="61">
        <v>251433.30000000002</v>
      </c>
      <c r="AS50" s="61">
        <v>0</v>
      </c>
      <c r="AT50" s="61">
        <v>0</v>
      </c>
      <c r="AU50" s="61">
        <v>0</v>
      </c>
      <c r="AV50" s="61">
        <v>0</v>
      </c>
      <c r="AW50" s="56">
        <v>251433.30000000002</v>
      </c>
    </row>
    <row r="51" spans="4:49" s="22" customFormat="1" ht="30" customHeight="1">
      <c r="D51" s="83"/>
      <c r="E51" s="87"/>
      <c r="F51" s="88"/>
      <c r="G51" s="88"/>
      <c r="H51" s="89"/>
      <c r="I51" s="76"/>
      <c r="J51" s="32" t="s">
        <v>223</v>
      </c>
      <c r="K51" s="32" t="s">
        <v>135</v>
      </c>
      <c r="L51" s="26">
        <v>8</v>
      </c>
      <c r="M51" s="26">
        <v>30</v>
      </c>
      <c r="N51" s="46">
        <f>10-8</f>
        <v>2</v>
      </c>
      <c r="O51" s="46">
        <f>15-10</f>
        <v>5</v>
      </c>
      <c r="P51" s="46">
        <f>20-15</f>
        <v>5</v>
      </c>
      <c r="Q51" s="46">
        <f>30-20</f>
        <v>10</v>
      </c>
      <c r="R51" s="45">
        <f>30-8</f>
        <v>22</v>
      </c>
      <c r="S51" s="27"/>
      <c r="T51" s="27"/>
      <c r="U51" s="28" t="s">
        <v>177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57">
        <v>0</v>
      </c>
      <c r="AC51" s="69">
        <v>0</v>
      </c>
      <c r="AD51" s="57">
        <v>0</v>
      </c>
      <c r="AE51" s="69">
        <v>0</v>
      </c>
      <c r="AF51" s="69">
        <v>0</v>
      </c>
      <c r="AG51" s="69">
        <v>0</v>
      </c>
      <c r="AH51" s="69">
        <v>0</v>
      </c>
      <c r="AI51" s="57">
        <v>0</v>
      </c>
      <c r="AJ51" s="62"/>
      <c r="AK51" s="62"/>
      <c r="AL51" s="62"/>
      <c r="AM51" s="62"/>
      <c r="AN51" s="62"/>
      <c r="AO51" s="62"/>
      <c r="AP51" s="57">
        <v>0</v>
      </c>
      <c r="AQ51" s="62"/>
      <c r="AR51" s="62"/>
      <c r="AS51" s="62"/>
      <c r="AT51" s="62"/>
      <c r="AU51" s="62"/>
      <c r="AV51" s="62"/>
      <c r="AW51" s="57">
        <v>0</v>
      </c>
    </row>
    <row r="52" spans="4:49" s="22" customFormat="1" ht="33.75">
      <c r="D52" s="83"/>
      <c r="E52" s="90"/>
      <c r="F52" s="91"/>
      <c r="G52" s="91"/>
      <c r="H52" s="92"/>
      <c r="I52" s="77"/>
      <c r="J52" s="32" t="s">
        <v>235</v>
      </c>
      <c r="K52" s="42" t="s">
        <v>243</v>
      </c>
      <c r="L52" s="26">
        <v>0</v>
      </c>
      <c r="M52" s="26">
        <v>8</v>
      </c>
      <c r="N52" s="46">
        <v>2</v>
      </c>
      <c r="O52" s="46">
        <f>4-2</f>
        <v>2</v>
      </c>
      <c r="P52" s="46">
        <f>8-4</f>
        <v>4</v>
      </c>
      <c r="Q52" s="10">
        <v>0</v>
      </c>
      <c r="R52" s="45"/>
      <c r="S52" s="27"/>
      <c r="T52" s="27"/>
      <c r="U52" s="28" t="s">
        <v>177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58">
        <v>0</v>
      </c>
      <c r="AC52" s="67">
        <v>0</v>
      </c>
      <c r="AD52" s="58">
        <v>0</v>
      </c>
      <c r="AE52" s="67">
        <v>0</v>
      </c>
      <c r="AF52" s="67">
        <v>0</v>
      </c>
      <c r="AG52" s="67">
        <v>0</v>
      </c>
      <c r="AH52" s="67">
        <v>0</v>
      </c>
      <c r="AI52" s="58">
        <v>0</v>
      </c>
      <c r="AJ52" s="63"/>
      <c r="AK52" s="63"/>
      <c r="AL52" s="63"/>
      <c r="AM52" s="63"/>
      <c r="AN52" s="63"/>
      <c r="AO52" s="63"/>
      <c r="AP52" s="58">
        <v>0</v>
      </c>
      <c r="AQ52" s="63"/>
      <c r="AR52" s="63"/>
      <c r="AS52" s="63"/>
      <c r="AT52" s="63"/>
      <c r="AU52" s="63"/>
      <c r="AV52" s="63"/>
      <c r="AW52" s="58">
        <v>0</v>
      </c>
    </row>
    <row r="53" spans="4:49" s="22" customFormat="1" ht="56.25">
      <c r="D53" s="83" t="s">
        <v>136</v>
      </c>
      <c r="E53" s="37" t="s">
        <v>137</v>
      </c>
      <c r="F53" s="29" t="s">
        <v>138</v>
      </c>
      <c r="G53" s="33">
        <v>0.11</v>
      </c>
      <c r="H53" s="33">
        <v>0.15</v>
      </c>
      <c r="I53" s="75" t="s">
        <v>139</v>
      </c>
      <c r="J53" s="19" t="s">
        <v>224</v>
      </c>
      <c r="K53" s="19" t="s">
        <v>140</v>
      </c>
      <c r="L53" s="26">
        <v>5</v>
      </c>
      <c r="M53" s="26">
        <v>7</v>
      </c>
      <c r="N53" s="46">
        <v>0</v>
      </c>
      <c r="O53" s="46">
        <v>0</v>
      </c>
      <c r="P53" s="46">
        <v>1</v>
      </c>
      <c r="Q53" s="46">
        <v>1</v>
      </c>
      <c r="R53" s="45">
        <f>7-5</f>
        <v>2</v>
      </c>
      <c r="S53" s="27"/>
      <c r="T53" s="27"/>
      <c r="U53" s="28" t="s">
        <v>160</v>
      </c>
      <c r="V53" s="61">
        <v>0</v>
      </c>
      <c r="W53" s="61">
        <v>0</v>
      </c>
      <c r="X53" s="61">
        <v>0</v>
      </c>
      <c r="Y53" s="61">
        <v>500000</v>
      </c>
      <c r="Z53" s="61">
        <v>0</v>
      </c>
      <c r="AA53" s="61">
        <v>0</v>
      </c>
      <c r="AB53" s="56">
        <v>500000</v>
      </c>
      <c r="AC53" s="56">
        <v>0</v>
      </c>
      <c r="AD53" s="56">
        <v>5500000</v>
      </c>
      <c r="AE53" s="56">
        <v>0</v>
      </c>
      <c r="AF53" s="56">
        <v>520000</v>
      </c>
      <c r="AG53" s="56">
        <v>0</v>
      </c>
      <c r="AH53" s="56">
        <v>0</v>
      </c>
      <c r="AI53" s="56">
        <v>6020000</v>
      </c>
      <c r="AJ53" s="61">
        <v>0</v>
      </c>
      <c r="AK53" s="61">
        <v>5665000</v>
      </c>
      <c r="AL53" s="61">
        <v>0</v>
      </c>
      <c r="AM53" s="61">
        <v>535600</v>
      </c>
      <c r="AN53" s="61">
        <v>0</v>
      </c>
      <c r="AO53" s="61">
        <v>0</v>
      </c>
      <c r="AP53" s="56">
        <v>6200600</v>
      </c>
      <c r="AQ53" s="61">
        <v>0</v>
      </c>
      <c r="AR53" s="61">
        <v>5834950</v>
      </c>
      <c r="AS53" s="61">
        <v>0</v>
      </c>
      <c r="AT53" s="61">
        <v>551668</v>
      </c>
      <c r="AU53" s="61">
        <v>0</v>
      </c>
      <c r="AV53" s="61">
        <v>0</v>
      </c>
      <c r="AW53" s="56">
        <v>6386618</v>
      </c>
    </row>
    <row r="54" spans="4:49" s="22" customFormat="1" ht="45">
      <c r="D54" s="83"/>
      <c r="E54" s="84"/>
      <c r="F54" s="85"/>
      <c r="G54" s="85"/>
      <c r="H54" s="86"/>
      <c r="I54" s="76"/>
      <c r="J54" s="19" t="s">
        <v>225</v>
      </c>
      <c r="K54" s="19" t="s">
        <v>141</v>
      </c>
      <c r="L54" s="26">
        <v>5</v>
      </c>
      <c r="M54" s="26">
        <v>13</v>
      </c>
      <c r="N54" s="46">
        <f>6-5</f>
        <v>1</v>
      </c>
      <c r="O54" s="46">
        <f>8-6</f>
        <v>2</v>
      </c>
      <c r="P54" s="46">
        <f>10-8</f>
        <v>2</v>
      </c>
      <c r="Q54" s="46">
        <f>13-10</f>
        <v>3</v>
      </c>
      <c r="R54" s="45">
        <f>13-5</f>
        <v>8</v>
      </c>
      <c r="S54" s="27"/>
      <c r="T54" s="27"/>
      <c r="U54" s="28" t="s">
        <v>160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57">
        <v>0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62"/>
      <c r="AK54" s="62"/>
      <c r="AL54" s="62"/>
      <c r="AM54" s="62"/>
      <c r="AN54" s="62"/>
      <c r="AO54" s="62"/>
      <c r="AP54" s="57">
        <v>0</v>
      </c>
      <c r="AQ54" s="62"/>
      <c r="AR54" s="62"/>
      <c r="AS54" s="62"/>
      <c r="AT54" s="62"/>
      <c r="AU54" s="62"/>
      <c r="AV54" s="62"/>
      <c r="AW54" s="57">
        <v>0</v>
      </c>
    </row>
    <row r="55" spans="4:49" s="22" customFormat="1" ht="33.75">
      <c r="D55" s="83"/>
      <c r="E55" s="87"/>
      <c r="F55" s="88"/>
      <c r="G55" s="88"/>
      <c r="H55" s="89"/>
      <c r="I55" s="77"/>
      <c r="J55" s="19" t="s">
        <v>226</v>
      </c>
      <c r="K55" s="19" t="s">
        <v>142</v>
      </c>
      <c r="L55" s="26">
        <v>13</v>
      </c>
      <c r="M55" s="26">
        <v>15</v>
      </c>
      <c r="N55" s="9">
        <v>13</v>
      </c>
      <c r="O55" s="9">
        <v>13</v>
      </c>
      <c r="P55" s="9">
        <v>14</v>
      </c>
      <c r="Q55" s="9">
        <v>15</v>
      </c>
      <c r="R55" s="45">
        <f>15-13</f>
        <v>2</v>
      </c>
      <c r="S55" s="27"/>
      <c r="T55" s="27"/>
      <c r="U55" s="28" t="s">
        <v>160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58">
        <v>0</v>
      </c>
      <c r="AC55" s="58">
        <v>0</v>
      </c>
      <c r="AD55" s="58">
        <v>0</v>
      </c>
      <c r="AE55" s="58">
        <v>0</v>
      </c>
      <c r="AF55" s="58">
        <v>0</v>
      </c>
      <c r="AG55" s="58">
        <v>0</v>
      </c>
      <c r="AH55" s="58">
        <v>0</v>
      </c>
      <c r="AI55" s="58">
        <v>0</v>
      </c>
      <c r="AJ55" s="63"/>
      <c r="AK55" s="63"/>
      <c r="AL55" s="63"/>
      <c r="AM55" s="63"/>
      <c r="AN55" s="63"/>
      <c r="AO55" s="63"/>
      <c r="AP55" s="58">
        <v>0</v>
      </c>
      <c r="AQ55" s="63"/>
      <c r="AR55" s="63"/>
      <c r="AS55" s="63"/>
      <c r="AT55" s="63"/>
      <c r="AU55" s="63"/>
      <c r="AV55" s="63"/>
      <c r="AW55" s="58">
        <v>0</v>
      </c>
    </row>
    <row r="56" spans="4:49" s="22" customFormat="1" ht="33.75">
      <c r="D56" s="83"/>
      <c r="E56" s="87"/>
      <c r="F56" s="88"/>
      <c r="G56" s="88"/>
      <c r="H56" s="89"/>
      <c r="I56" s="14" t="s">
        <v>143</v>
      </c>
      <c r="J56" s="38" t="s">
        <v>227</v>
      </c>
      <c r="K56" s="38" t="s">
        <v>144</v>
      </c>
      <c r="L56" s="39">
        <v>16</v>
      </c>
      <c r="M56" s="39">
        <v>28</v>
      </c>
      <c r="N56" s="46">
        <f>17-16</f>
        <v>1</v>
      </c>
      <c r="O56" s="46">
        <f>22-17</f>
        <v>5</v>
      </c>
      <c r="P56" s="46">
        <f>25-22</f>
        <v>3</v>
      </c>
      <c r="Q56" s="47">
        <f>28-25</f>
        <v>3</v>
      </c>
      <c r="R56" s="45">
        <f>28-16</f>
        <v>12</v>
      </c>
      <c r="S56" s="27"/>
      <c r="T56" s="27"/>
      <c r="U56" s="28" t="s">
        <v>160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2">
        <v>0</v>
      </c>
      <c r="AC56" s="12">
        <v>0</v>
      </c>
      <c r="AD56" s="12">
        <v>2000000</v>
      </c>
      <c r="AE56" s="12">
        <v>0</v>
      </c>
      <c r="AF56" s="12">
        <v>0</v>
      </c>
      <c r="AG56" s="12">
        <v>0</v>
      </c>
      <c r="AH56" s="12">
        <v>0</v>
      </c>
      <c r="AI56" s="12">
        <v>2000000</v>
      </c>
      <c r="AJ56" s="11">
        <v>0</v>
      </c>
      <c r="AK56" s="11">
        <v>2060000</v>
      </c>
      <c r="AL56" s="11">
        <v>0</v>
      </c>
      <c r="AM56" s="11">
        <v>0</v>
      </c>
      <c r="AN56" s="11">
        <v>0</v>
      </c>
      <c r="AO56" s="11">
        <v>0</v>
      </c>
      <c r="AP56" s="12">
        <v>2060000</v>
      </c>
      <c r="AQ56" s="11">
        <v>0</v>
      </c>
      <c r="AR56" s="11">
        <v>2121800</v>
      </c>
      <c r="AS56" s="11">
        <v>0</v>
      </c>
      <c r="AT56" s="11">
        <v>0</v>
      </c>
      <c r="AU56" s="11">
        <v>0</v>
      </c>
      <c r="AV56" s="11">
        <v>0</v>
      </c>
      <c r="AW56" s="12">
        <v>2121800</v>
      </c>
    </row>
    <row r="57" spans="4:49" s="22" customFormat="1" ht="36" customHeight="1">
      <c r="D57" s="83"/>
      <c r="E57" s="87"/>
      <c r="F57" s="88"/>
      <c r="G57" s="88"/>
      <c r="H57" s="89"/>
      <c r="I57" s="78" t="s">
        <v>145</v>
      </c>
      <c r="J57" s="29" t="s">
        <v>228</v>
      </c>
      <c r="K57" s="29" t="s">
        <v>146</v>
      </c>
      <c r="L57" s="40">
        <v>8503</v>
      </c>
      <c r="M57" s="40">
        <v>12503</v>
      </c>
      <c r="N57" s="46">
        <f>10000-8503</f>
        <v>1497</v>
      </c>
      <c r="O57" s="46">
        <f>10900-10000</f>
        <v>900</v>
      </c>
      <c r="P57" s="46">
        <f>11700-10900</f>
        <v>800</v>
      </c>
      <c r="Q57" s="46">
        <f>12503-11700</f>
        <v>803</v>
      </c>
      <c r="R57" s="45"/>
      <c r="S57" s="27"/>
      <c r="T57" s="27"/>
      <c r="U57" s="28" t="s">
        <v>160</v>
      </c>
      <c r="V57" s="11">
        <v>7147050</v>
      </c>
      <c r="W57" s="11">
        <v>266000</v>
      </c>
      <c r="X57" s="11">
        <v>0</v>
      </c>
      <c r="Y57" s="11">
        <v>0</v>
      </c>
      <c r="Z57" s="11">
        <v>0</v>
      </c>
      <c r="AA57" s="11">
        <v>0</v>
      </c>
      <c r="AB57" s="12">
        <v>7413050</v>
      </c>
      <c r="AC57" s="12">
        <v>8404000</v>
      </c>
      <c r="AD57" s="12">
        <v>627000</v>
      </c>
      <c r="AE57" s="12">
        <v>0</v>
      </c>
      <c r="AF57" s="12">
        <v>0</v>
      </c>
      <c r="AG57" s="12">
        <v>0</v>
      </c>
      <c r="AH57" s="12">
        <v>0</v>
      </c>
      <c r="AI57" s="12">
        <v>9031000</v>
      </c>
      <c r="AJ57" s="11">
        <v>8656120</v>
      </c>
      <c r="AK57" s="11">
        <v>645810</v>
      </c>
      <c r="AL57" s="11">
        <v>0</v>
      </c>
      <c r="AM57" s="11">
        <v>0</v>
      </c>
      <c r="AN57" s="11">
        <v>0</v>
      </c>
      <c r="AO57" s="11">
        <v>0</v>
      </c>
      <c r="AP57" s="12">
        <v>9301930</v>
      </c>
      <c r="AQ57" s="11">
        <v>8915803.5999999996</v>
      </c>
      <c r="AR57" s="11">
        <v>665184.30000000005</v>
      </c>
      <c r="AS57" s="11">
        <v>0</v>
      </c>
      <c r="AT57" s="11">
        <v>0</v>
      </c>
      <c r="AU57" s="11">
        <v>0</v>
      </c>
      <c r="AV57" s="11">
        <v>0</v>
      </c>
      <c r="AW57" s="12">
        <v>9580987.9000000004</v>
      </c>
    </row>
    <row r="58" spans="4:49" s="22" customFormat="1" ht="37.5" customHeight="1">
      <c r="D58" s="83"/>
      <c r="E58" s="87"/>
      <c r="F58" s="88"/>
      <c r="G58" s="88"/>
      <c r="H58" s="89"/>
      <c r="I58" s="78"/>
      <c r="J58" s="29" t="s">
        <v>229</v>
      </c>
      <c r="K58" s="29" t="s">
        <v>147</v>
      </c>
      <c r="L58" s="40">
        <v>0</v>
      </c>
      <c r="M58" s="40">
        <v>80</v>
      </c>
      <c r="N58" s="46">
        <v>10</v>
      </c>
      <c r="O58" s="46">
        <f>30-10</f>
        <v>20</v>
      </c>
      <c r="P58" s="46">
        <f>50-30</f>
        <v>20</v>
      </c>
      <c r="Q58" s="46">
        <f>80-50</f>
        <v>30</v>
      </c>
      <c r="R58" s="45"/>
      <c r="S58" s="27"/>
      <c r="T58" s="27"/>
      <c r="U58" s="28" t="s">
        <v>160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12">
        <v>0</v>
      </c>
      <c r="AC58" s="12">
        <v>1022565.662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1022565.662</v>
      </c>
      <c r="AJ58" s="11">
        <v>1053242.6318600001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2">
        <v>1053242.6318600001</v>
      </c>
      <c r="AQ58" s="11">
        <v>1084839.9108158001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2">
        <v>1084839.9108158001</v>
      </c>
    </row>
    <row r="59" spans="4:49" s="22" customFormat="1" ht="67.5">
      <c r="D59" s="83"/>
      <c r="E59" s="90"/>
      <c r="F59" s="91"/>
      <c r="G59" s="91"/>
      <c r="H59" s="92"/>
      <c r="I59" s="14" t="s">
        <v>148</v>
      </c>
      <c r="J59" s="29" t="s">
        <v>230</v>
      </c>
      <c r="K59" s="29" t="s">
        <v>149</v>
      </c>
      <c r="L59" s="40">
        <v>0</v>
      </c>
      <c r="M59" s="40">
        <v>84</v>
      </c>
      <c r="N59" s="46">
        <v>5</v>
      </c>
      <c r="O59" s="46">
        <f>20-5</f>
        <v>15</v>
      </c>
      <c r="P59" s="46">
        <f>40-20</f>
        <v>20</v>
      </c>
      <c r="Q59" s="46">
        <f>84-40</f>
        <v>44</v>
      </c>
      <c r="R59" s="45"/>
      <c r="S59" s="27"/>
      <c r="T59" s="27"/>
      <c r="U59" s="28" t="s">
        <v>160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12">
        <v>0</v>
      </c>
      <c r="AC59" s="12">
        <v>0</v>
      </c>
      <c r="AD59" s="12">
        <v>235000</v>
      </c>
      <c r="AE59" s="12">
        <v>0</v>
      </c>
      <c r="AF59" s="12">
        <v>0</v>
      </c>
      <c r="AG59" s="12">
        <v>0</v>
      </c>
      <c r="AH59" s="12">
        <v>0</v>
      </c>
      <c r="AI59" s="12">
        <v>235000</v>
      </c>
      <c r="AJ59" s="11">
        <v>0</v>
      </c>
      <c r="AK59" s="11">
        <v>242050</v>
      </c>
      <c r="AL59" s="11">
        <v>0</v>
      </c>
      <c r="AM59" s="11">
        <v>0</v>
      </c>
      <c r="AN59" s="11">
        <v>0</v>
      </c>
      <c r="AO59" s="11">
        <v>0</v>
      </c>
      <c r="AP59" s="12">
        <v>242050</v>
      </c>
      <c r="AQ59" s="11">
        <v>0</v>
      </c>
      <c r="AR59" s="11">
        <v>249311.5</v>
      </c>
      <c r="AS59" s="11">
        <v>0</v>
      </c>
      <c r="AT59" s="11">
        <v>0</v>
      </c>
      <c r="AU59" s="11">
        <v>0</v>
      </c>
      <c r="AV59" s="11">
        <v>0</v>
      </c>
      <c r="AW59" s="12">
        <v>249311.5</v>
      </c>
    </row>
    <row r="60" spans="4:49" s="22" customFormat="1" ht="42" customHeight="1">
      <c r="D60" s="81" t="s">
        <v>150</v>
      </c>
      <c r="E60" s="29" t="s">
        <v>151</v>
      </c>
      <c r="F60" s="29" t="s">
        <v>152</v>
      </c>
      <c r="G60" s="33" t="s">
        <v>239</v>
      </c>
      <c r="H60" s="33">
        <v>0.8</v>
      </c>
      <c r="I60" s="14" t="s">
        <v>153</v>
      </c>
      <c r="J60" s="32" t="s">
        <v>231</v>
      </c>
      <c r="K60" s="32" t="s">
        <v>154</v>
      </c>
      <c r="L60" s="26">
        <v>0</v>
      </c>
      <c r="M60" s="26">
        <v>500</v>
      </c>
      <c r="N60" s="46">
        <v>50</v>
      </c>
      <c r="O60" s="46">
        <f>150-50</f>
        <v>100</v>
      </c>
      <c r="P60" s="46">
        <f>350-150</f>
        <v>200</v>
      </c>
      <c r="Q60" s="46">
        <f>500-350</f>
        <v>150</v>
      </c>
      <c r="R60" s="45"/>
      <c r="S60" s="27"/>
      <c r="T60" s="27"/>
      <c r="U60" s="28" t="s">
        <v>160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12">
        <v>0</v>
      </c>
      <c r="AC60" s="12">
        <v>0</v>
      </c>
      <c r="AD60" s="12">
        <v>600000</v>
      </c>
      <c r="AE60" s="12">
        <v>0</v>
      </c>
      <c r="AF60" s="12">
        <v>400000</v>
      </c>
      <c r="AG60" s="12">
        <v>0</v>
      </c>
      <c r="AH60" s="12">
        <v>0</v>
      </c>
      <c r="AI60" s="12">
        <v>1000000</v>
      </c>
      <c r="AJ60" s="11">
        <v>0</v>
      </c>
      <c r="AK60" s="11">
        <v>618000</v>
      </c>
      <c r="AL60" s="11">
        <v>0</v>
      </c>
      <c r="AM60" s="11">
        <v>412000</v>
      </c>
      <c r="AN60" s="11">
        <v>0</v>
      </c>
      <c r="AO60" s="11">
        <v>0</v>
      </c>
      <c r="AP60" s="12">
        <v>1030000</v>
      </c>
      <c r="AQ60" s="11">
        <v>0</v>
      </c>
      <c r="AR60" s="11">
        <v>636540</v>
      </c>
      <c r="AS60" s="11">
        <v>0</v>
      </c>
      <c r="AT60" s="11">
        <v>424360</v>
      </c>
      <c r="AU60" s="11">
        <v>0</v>
      </c>
      <c r="AV60" s="11">
        <v>0</v>
      </c>
      <c r="AW60" s="12">
        <v>1060900</v>
      </c>
    </row>
    <row r="61" spans="4:49" s="22" customFormat="1" ht="31.5" customHeight="1">
      <c r="D61" s="81"/>
      <c r="E61" s="82"/>
      <c r="F61" s="82"/>
      <c r="G61" s="82"/>
      <c r="H61" s="82"/>
      <c r="I61" s="75" t="s">
        <v>155</v>
      </c>
      <c r="J61" s="32" t="s">
        <v>232</v>
      </c>
      <c r="K61" s="32" t="s">
        <v>156</v>
      </c>
      <c r="L61" s="26">
        <v>0</v>
      </c>
      <c r="M61" s="26">
        <v>1500</v>
      </c>
      <c r="N61" s="46">
        <v>200</v>
      </c>
      <c r="O61" s="46">
        <f>600-200</f>
        <v>400</v>
      </c>
      <c r="P61" s="46">
        <f>1000-600</f>
        <v>400</v>
      </c>
      <c r="Q61" s="46">
        <f>1500-1000</f>
        <v>500</v>
      </c>
      <c r="R61" s="45"/>
      <c r="S61" s="27"/>
      <c r="T61" s="27"/>
      <c r="U61" s="27" t="s">
        <v>161</v>
      </c>
      <c r="V61" s="79">
        <v>0</v>
      </c>
      <c r="W61" s="79">
        <v>0</v>
      </c>
      <c r="X61" s="79">
        <v>0</v>
      </c>
      <c r="Y61" s="79">
        <v>0</v>
      </c>
      <c r="Z61" s="79">
        <v>0</v>
      </c>
      <c r="AA61" s="79">
        <v>0</v>
      </c>
      <c r="AB61" s="56">
        <v>0</v>
      </c>
      <c r="AC61" s="66">
        <v>0</v>
      </c>
      <c r="AD61" s="68">
        <v>700000</v>
      </c>
      <c r="AE61" s="66">
        <v>0</v>
      </c>
      <c r="AF61" s="68">
        <v>300000</v>
      </c>
      <c r="AG61" s="66">
        <v>0</v>
      </c>
      <c r="AH61" s="66">
        <v>0</v>
      </c>
      <c r="AI61" s="56">
        <v>1000000</v>
      </c>
      <c r="AJ61" s="61">
        <v>0</v>
      </c>
      <c r="AK61" s="61">
        <v>721000</v>
      </c>
      <c r="AL61" s="61">
        <v>0</v>
      </c>
      <c r="AM61" s="61">
        <v>309000</v>
      </c>
      <c r="AN61" s="61">
        <v>0</v>
      </c>
      <c r="AO61" s="61">
        <v>0</v>
      </c>
      <c r="AP61" s="56">
        <v>1030000</v>
      </c>
      <c r="AQ61" s="61">
        <v>0</v>
      </c>
      <c r="AR61" s="61">
        <v>742630</v>
      </c>
      <c r="AS61" s="61">
        <v>0</v>
      </c>
      <c r="AT61" s="61">
        <v>318270</v>
      </c>
      <c r="AU61" s="61">
        <v>0</v>
      </c>
      <c r="AV61" s="61">
        <v>0</v>
      </c>
      <c r="AW61" s="56">
        <v>1060900</v>
      </c>
    </row>
    <row r="62" spans="4:49" s="22" customFormat="1" ht="28.5" customHeight="1">
      <c r="D62" s="81"/>
      <c r="E62" s="82"/>
      <c r="F62" s="82"/>
      <c r="G62" s="82"/>
      <c r="H62" s="82"/>
      <c r="I62" s="77"/>
      <c r="J62" s="32" t="s">
        <v>233</v>
      </c>
      <c r="K62" s="32" t="s">
        <v>157</v>
      </c>
      <c r="L62" s="26">
        <v>0</v>
      </c>
      <c r="M62" s="26">
        <v>104</v>
      </c>
      <c r="N62" s="46">
        <v>10</v>
      </c>
      <c r="O62" s="46">
        <f>30-10</f>
        <v>20</v>
      </c>
      <c r="P62" s="46">
        <f>80-30</f>
        <v>50</v>
      </c>
      <c r="Q62" s="46">
        <f>104-80</f>
        <v>24</v>
      </c>
      <c r="R62" s="45"/>
      <c r="S62" s="27"/>
      <c r="T62" s="27"/>
      <c r="U62" s="27" t="s">
        <v>161</v>
      </c>
      <c r="V62" s="80">
        <v>0</v>
      </c>
      <c r="W62" s="80">
        <v>0</v>
      </c>
      <c r="X62" s="80">
        <v>0</v>
      </c>
      <c r="Y62" s="80">
        <v>0</v>
      </c>
      <c r="Z62" s="80">
        <v>0</v>
      </c>
      <c r="AA62" s="80">
        <v>0</v>
      </c>
      <c r="AB62" s="58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58">
        <v>0</v>
      </c>
      <c r="AJ62" s="63"/>
      <c r="AK62" s="63"/>
      <c r="AL62" s="63"/>
      <c r="AM62" s="63"/>
      <c r="AN62" s="63"/>
      <c r="AO62" s="63"/>
      <c r="AP62" s="58">
        <v>0</v>
      </c>
      <c r="AQ62" s="63"/>
      <c r="AR62" s="63"/>
      <c r="AS62" s="63"/>
      <c r="AT62" s="63"/>
      <c r="AU62" s="63"/>
      <c r="AV62" s="63"/>
      <c r="AW62" s="58">
        <v>0</v>
      </c>
    </row>
  </sheetData>
  <mergeCells count="417">
    <mergeCell ref="D2:D17"/>
    <mergeCell ref="I2:I5"/>
    <mergeCell ref="V2:V5"/>
    <mergeCell ref="W2:W5"/>
    <mergeCell ref="X2:X5"/>
    <mergeCell ref="Y2:Y5"/>
    <mergeCell ref="E6:H17"/>
    <mergeCell ref="I7:I10"/>
    <mergeCell ref="V9:V10"/>
    <mergeCell ref="W9:W10"/>
    <mergeCell ref="X9:X10"/>
    <mergeCell ref="Y9:Y10"/>
    <mergeCell ref="AU2:AU5"/>
    <mergeCell ref="AV2:AV5"/>
    <mergeCell ref="AW2:AW5"/>
    <mergeCell ref="AL2:AL5"/>
    <mergeCell ref="AM2:AM5"/>
    <mergeCell ref="AN2:AN5"/>
    <mergeCell ref="AO2:AO5"/>
    <mergeCell ref="AP2:AP5"/>
    <mergeCell ref="AQ2:AQ5"/>
    <mergeCell ref="Z9:Z10"/>
    <mergeCell ref="AA9:AA10"/>
    <mergeCell ref="AB9:AB10"/>
    <mergeCell ref="AC9:AC10"/>
    <mergeCell ref="AR2:AR5"/>
    <mergeCell ref="AS2:AS5"/>
    <mergeCell ref="AT2:AT5"/>
    <mergeCell ref="AF2:AF5"/>
    <mergeCell ref="AG2:AG5"/>
    <mergeCell ref="AH2:AH5"/>
    <mergeCell ref="AI2:AI5"/>
    <mergeCell ref="AJ2:AJ5"/>
    <mergeCell ref="AK2:AK5"/>
    <mergeCell ref="Z2:Z5"/>
    <mergeCell ref="AA2:AA5"/>
    <mergeCell ref="AB2:AB5"/>
    <mergeCell ref="AC2:AC5"/>
    <mergeCell ref="AD2:AD5"/>
    <mergeCell ref="AE2:AE5"/>
    <mergeCell ref="AW9:AW10"/>
    <mergeCell ref="I11:I14"/>
    <mergeCell ref="V11:V14"/>
    <mergeCell ref="W11:W14"/>
    <mergeCell ref="X11:X14"/>
    <mergeCell ref="Y11:Y14"/>
    <mergeCell ref="Z11:Z14"/>
    <mergeCell ref="AA11:AA14"/>
    <mergeCell ref="AB11:AB14"/>
    <mergeCell ref="AP9:AP10"/>
    <mergeCell ref="AQ9:AQ10"/>
    <mergeCell ref="AR9:AR10"/>
    <mergeCell ref="AS9:AS10"/>
    <mergeCell ref="AT9:AT10"/>
    <mergeCell ref="AU9:AU10"/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M11:AM14"/>
    <mergeCell ref="AN11:AN14"/>
    <mergeCell ref="AC11:AC14"/>
    <mergeCell ref="AD11:AD14"/>
    <mergeCell ref="AE11:AE14"/>
    <mergeCell ref="AF11:AF14"/>
    <mergeCell ref="AG11:AG14"/>
    <mergeCell ref="AH11:AH14"/>
    <mergeCell ref="AV9:AV10"/>
    <mergeCell ref="AG9:AG10"/>
    <mergeCell ref="AH9:AH10"/>
    <mergeCell ref="AI9:AI10"/>
    <mergeCell ref="AD16:AD17"/>
    <mergeCell ref="AE16:AE17"/>
    <mergeCell ref="AF16:AF17"/>
    <mergeCell ref="AG16:AG17"/>
    <mergeCell ref="AU11:AU14"/>
    <mergeCell ref="AV11:AV14"/>
    <mergeCell ref="AW11:AW14"/>
    <mergeCell ref="I16:I17"/>
    <mergeCell ref="V16:V17"/>
    <mergeCell ref="W16:W17"/>
    <mergeCell ref="X16:X17"/>
    <mergeCell ref="Y16:Y17"/>
    <mergeCell ref="Z16:Z17"/>
    <mergeCell ref="AA16:AA17"/>
    <mergeCell ref="AO11:AO14"/>
    <mergeCell ref="AP11:AP14"/>
    <mergeCell ref="AQ11:AQ14"/>
    <mergeCell ref="AR11:AR14"/>
    <mergeCell ref="AS11:AS14"/>
    <mergeCell ref="AT11:AT14"/>
    <mergeCell ref="AI11:AI14"/>
    <mergeCell ref="AJ11:AJ14"/>
    <mergeCell ref="AK11:AK14"/>
    <mergeCell ref="AL11:AL14"/>
    <mergeCell ref="AT16:AT17"/>
    <mergeCell ref="AU16:AU17"/>
    <mergeCell ref="AV16:AV17"/>
    <mergeCell ref="AW16:AW17"/>
    <mergeCell ref="D18:D42"/>
    <mergeCell ref="I18:I23"/>
    <mergeCell ref="V18:V23"/>
    <mergeCell ref="W18:W23"/>
    <mergeCell ref="X18:X23"/>
    <mergeCell ref="Y18:Y23"/>
    <mergeCell ref="AN16:AN17"/>
    <mergeCell ref="AO16:AO17"/>
    <mergeCell ref="AP16:AP17"/>
    <mergeCell ref="AQ16:AQ17"/>
    <mergeCell ref="AR16:AR17"/>
    <mergeCell ref="AS16:AS17"/>
    <mergeCell ref="AH16:AH17"/>
    <mergeCell ref="AI16:AI17"/>
    <mergeCell ref="AJ16:AJ17"/>
    <mergeCell ref="AK16:AK17"/>
    <mergeCell ref="AL16:AL17"/>
    <mergeCell ref="AM16:AM17"/>
    <mergeCell ref="AB16:AB17"/>
    <mergeCell ref="AC16:AC17"/>
    <mergeCell ref="AF18:AF23"/>
    <mergeCell ref="AG18:AG23"/>
    <mergeCell ref="AH18:AH23"/>
    <mergeCell ref="AI18:AI23"/>
    <mergeCell ref="AJ18:AJ23"/>
    <mergeCell ref="AK18:AK23"/>
    <mergeCell ref="Z18:Z23"/>
    <mergeCell ref="AA18:AA23"/>
    <mergeCell ref="AB18:AB23"/>
    <mergeCell ref="AC18:AC23"/>
    <mergeCell ref="AD18:AD23"/>
    <mergeCell ref="AE18:AE23"/>
    <mergeCell ref="AR18:AR23"/>
    <mergeCell ref="AS18:AS23"/>
    <mergeCell ref="AT18:AT23"/>
    <mergeCell ref="AU18:AU23"/>
    <mergeCell ref="AV18:AV23"/>
    <mergeCell ref="AW18:AW23"/>
    <mergeCell ref="AL18:AL23"/>
    <mergeCell ref="AM18:AM23"/>
    <mergeCell ref="AN18:AN23"/>
    <mergeCell ref="AO18:AO23"/>
    <mergeCell ref="AP18:AP23"/>
    <mergeCell ref="AQ18:AQ23"/>
    <mergeCell ref="E22:H42"/>
    <mergeCell ref="I24:I28"/>
    <mergeCell ref="V24:V28"/>
    <mergeCell ref="W24:W28"/>
    <mergeCell ref="X24:X28"/>
    <mergeCell ref="Y24:Y28"/>
    <mergeCell ref="I29:I31"/>
    <mergeCell ref="V29:V31"/>
    <mergeCell ref="W29:W31"/>
    <mergeCell ref="X29:X31"/>
    <mergeCell ref="AF24:AF28"/>
    <mergeCell ref="AG24:AG28"/>
    <mergeCell ref="AH24:AH28"/>
    <mergeCell ref="AI24:AI28"/>
    <mergeCell ref="AJ24:AJ28"/>
    <mergeCell ref="AK24:AK28"/>
    <mergeCell ref="Z24:Z28"/>
    <mergeCell ref="AA24:AA28"/>
    <mergeCell ref="AB24:AB28"/>
    <mergeCell ref="AC24:AC28"/>
    <mergeCell ref="AD24:AD28"/>
    <mergeCell ref="AE24:AE28"/>
    <mergeCell ref="AR24:AR28"/>
    <mergeCell ref="AS24:AS28"/>
    <mergeCell ref="AT24:AT28"/>
    <mergeCell ref="AU24:AU28"/>
    <mergeCell ref="AV24:AV28"/>
    <mergeCell ref="AW24:AW28"/>
    <mergeCell ref="AL24:AL28"/>
    <mergeCell ref="AM24:AM28"/>
    <mergeCell ref="AN24:AN28"/>
    <mergeCell ref="AO24:AO28"/>
    <mergeCell ref="AP24:AP28"/>
    <mergeCell ref="AQ24:AQ28"/>
    <mergeCell ref="AG29:AG31"/>
    <mergeCell ref="AH29:AH31"/>
    <mergeCell ref="AI29:AI31"/>
    <mergeCell ref="AJ29:AJ31"/>
    <mergeCell ref="Y29:Y31"/>
    <mergeCell ref="Z29:Z31"/>
    <mergeCell ref="AA29:AA31"/>
    <mergeCell ref="AB29:AB31"/>
    <mergeCell ref="AC29:AC31"/>
    <mergeCell ref="AD29:AD31"/>
    <mergeCell ref="AW29:AW31"/>
    <mergeCell ref="I33:I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Q29:AQ31"/>
    <mergeCell ref="AR29:AR31"/>
    <mergeCell ref="AS29:AS31"/>
    <mergeCell ref="AT29:AT31"/>
    <mergeCell ref="AU29:AU31"/>
    <mergeCell ref="AV29:AV31"/>
    <mergeCell ref="AK29:AK31"/>
    <mergeCell ref="AL29:AL31"/>
    <mergeCell ref="AM29:AM31"/>
    <mergeCell ref="AN29:AN31"/>
    <mergeCell ref="AO29:AO31"/>
    <mergeCell ref="AP29:AP31"/>
    <mergeCell ref="AE29:AE31"/>
    <mergeCell ref="AF29:AF31"/>
    <mergeCell ref="AW33:AW34"/>
    <mergeCell ref="I35:I38"/>
    <mergeCell ref="V35:V38"/>
    <mergeCell ref="W35:W38"/>
    <mergeCell ref="X35:X38"/>
    <mergeCell ref="Y35:Y38"/>
    <mergeCell ref="Z35:Z38"/>
    <mergeCell ref="AA35:AA38"/>
    <mergeCell ref="AB35:AB38"/>
    <mergeCell ref="AP33:AP34"/>
    <mergeCell ref="AQ33:AQ34"/>
    <mergeCell ref="AR33:AR34"/>
    <mergeCell ref="AS33:AS34"/>
    <mergeCell ref="AT33:AT34"/>
    <mergeCell ref="AU33:AU34"/>
    <mergeCell ref="AJ33:AJ34"/>
    <mergeCell ref="AK33:AK34"/>
    <mergeCell ref="AL33:AL34"/>
    <mergeCell ref="AM33:AM34"/>
    <mergeCell ref="AN33:AN34"/>
    <mergeCell ref="AO33:AO34"/>
    <mergeCell ref="AD33:AD34"/>
    <mergeCell ref="AE33:AE34"/>
    <mergeCell ref="AF33:AF34"/>
    <mergeCell ref="AM35:AM38"/>
    <mergeCell ref="AN35:AN38"/>
    <mergeCell ref="AC35:AC38"/>
    <mergeCell ref="AD35:AD38"/>
    <mergeCell ref="AE35:AE38"/>
    <mergeCell ref="AF35:AF38"/>
    <mergeCell ref="AG35:AG38"/>
    <mergeCell ref="AH35:AH38"/>
    <mergeCell ref="AV33:AV34"/>
    <mergeCell ref="AG33:AG34"/>
    <mergeCell ref="AH33:AH34"/>
    <mergeCell ref="AI33:AI34"/>
    <mergeCell ref="AD39:AD40"/>
    <mergeCell ref="AE39:AE40"/>
    <mergeCell ref="AF39:AF40"/>
    <mergeCell ref="AG39:AG40"/>
    <mergeCell ref="AU35:AU38"/>
    <mergeCell ref="AV35:AV38"/>
    <mergeCell ref="AW35:AW38"/>
    <mergeCell ref="I39:I40"/>
    <mergeCell ref="V39:V40"/>
    <mergeCell ref="W39:W40"/>
    <mergeCell ref="X39:X40"/>
    <mergeCell ref="Y39:Y40"/>
    <mergeCell ref="Z39:Z40"/>
    <mergeCell ref="AA39:AA40"/>
    <mergeCell ref="AO35:AO38"/>
    <mergeCell ref="AP35:AP38"/>
    <mergeCell ref="AQ35:AQ38"/>
    <mergeCell ref="AR35:AR38"/>
    <mergeCell ref="AS35:AS38"/>
    <mergeCell ref="AT35:AT38"/>
    <mergeCell ref="AI35:AI38"/>
    <mergeCell ref="AJ35:AJ38"/>
    <mergeCell ref="AK35:AK38"/>
    <mergeCell ref="AL35:AL38"/>
    <mergeCell ref="AT39:AT40"/>
    <mergeCell ref="AU39:AU40"/>
    <mergeCell ref="AV39:AV40"/>
    <mergeCell ref="AW39:AW40"/>
    <mergeCell ref="D43:D52"/>
    <mergeCell ref="I44:I49"/>
    <mergeCell ref="V44:V49"/>
    <mergeCell ref="W44:W49"/>
    <mergeCell ref="X44:X49"/>
    <mergeCell ref="Y44:Y49"/>
    <mergeCell ref="AN39:AN40"/>
    <mergeCell ref="AO39:AO40"/>
    <mergeCell ref="AP39:AP40"/>
    <mergeCell ref="AQ39:AQ40"/>
    <mergeCell ref="AR39:AR40"/>
    <mergeCell ref="AS39:AS40"/>
    <mergeCell ref="AH39:AH40"/>
    <mergeCell ref="AI39:AI40"/>
    <mergeCell ref="AJ39:AJ40"/>
    <mergeCell ref="AK39:AK40"/>
    <mergeCell ref="AL39:AL40"/>
    <mergeCell ref="AM39:AM40"/>
    <mergeCell ref="AB39:AB40"/>
    <mergeCell ref="AC39:AC40"/>
    <mergeCell ref="AF44:AF49"/>
    <mergeCell ref="AG44:AG49"/>
    <mergeCell ref="AH44:AH49"/>
    <mergeCell ref="AI44:AI49"/>
    <mergeCell ref="AJ44:AJ49"/>
    <mergeCell ref="AK44:AK49"/>
    <mergeCell ref="Z44:Z49"/>
    <mergeCell ref="AA44:AA49"/>
    <mergeCell ref="AB44:AB49"/>
    <mergeCell ref="AC44:AC49"/>
    <mergeCell ref="AD44:AD49"/>
    <mergeCell ref="AE44:AE49"/>
    <mergeCell ref="AU44:AU49"/>
    <mergeCell ref="AV44:AV49"/>
    <mergeCell ref="AW44:AW49"/>
    <mergeCell ref="AL44:AL49"/>
    <mergeCell ref="AM44:AM49"/>
    <mergeCell ref="AN44:AN49"/>
    <mergeCell ref="AO44:AO49"/>
    <mergeCell ref="AP44:AP49"/>
    <mergeCell ref="AQ44:AQ49"/>
    <mergeCell ref="AV50:AV52"/>
    <mergeCell ref="AW50:AW52"/>
    <mergeCell ref="AL50:AL52"/>
    <mergeCell ref="AM50:AM52"/>
    <mergeCell ref="AN50:AN52"/>
    <mergeCell ref="AO50:AO52"/>
    <mergeCell ref="AP50:AP52"/>
    <mergeCell ref="AQ50:AQ52"/>
    <mergeCell ref="AF50:AF52"/>
    <mergeCell ref="AG50:AG52"/>
    <mergeCell ref="AH50:AH52"/>
    <mergeCell ref="AI50:AI52"/>
    <mergeCell ref="AJ50:AJ52"/>
    <mergeCell ref="AK50:AK52"/>
    <mergeCell ref="W53:W55"/>
    <mergeCell ref="X53:X55"/>
    <mergeCell ref="Y53:Y55"/>
    <mergeCell ref="E54:H59"/>
    <mergeCell ref="I57:I58"/>
    <mergeCell ref="AR50:AR52"/>
    <mergeCell ref="AS50:AS52"/>
    <mergeCell ref="AT50:AT52"/>
    <mergeCell ref="AU50:AU52"/>
    <mergeCell ref="Z50:Z52"/>
    <mergeCell ref="AA50:AA52"/>
    <mergeCell ref="AB50:AB52"/>
    <mergeCell ref="AC50:AC52"/>
    <mergeCell ref="AD50:AD52"/>
    <mergeCell ref="AE50:AE52"/>
    <mergeCell ref="E46:H52"/>
    <mergeCell ref="I50:I52"/>
    <mergeCell ref="V50:V52"/>
    <mergeCell ref="W50:W52"/>
    <mergeCell ref="X50:X52"/>
    <mergeCell ref="Y50:Y52"/>
    <mergeCell ref="AR44:AR49"/>
    <mergeCell ref="AS44:AS49"/>
    <mergeCell ref="AT44:AT49"/>
    <mergeCell ref="AU53:AU55"/>
    <mergeCell ref="AV53:AV55"/>
    <mergeCell ref="AW53:AW55"/>
    <mergeCell ref="AL53:AL55"/>
    <mergeCell ref="AM53:AM55"/>
    <mergeCell ref="AN53:AN55"/>
    <mergeCell ref="AO53:AO55"/>
    <mergeCell ref="AP53:AP55"/>
    <mergeCell ref="AQ53:AQ55"/>
    <mergeCell ref="D60:D62"/>
    <mergeCell ref="E61:H62"/>
    <mergeCell ref="I61:I62"/>
    <mergeCell ref="V61:V62"/>
    <mergeCell ref="W61:W62"/>
    <mergeCell ref="X61:X62"/>
    <mergeCell ref="AR53:AR55"/>
    <mergeCell ref="AS53:AS55"/>
    <mergeCell ref="AT53:AT55"/>
    <mergeCell ref="AF53:AF55"/>
    <mergeCell ref="AG53:AG55"/>
    <mergeCell ref="AH53:AH55"/>
    <mergeCell ref="AI53:AI55"/>
    <mergeCell ref="AJ53:AJ55"/>
    <mergeCell ref="AK53:AK55"/>
    <mergeCell ref="Z53:Z55"/>
    <mergeCell ref="AA53:AA55"/>
    <mergeCell ref="AB53:AB55"/>
    <mergeCell ref="AC53:AC55"/>
    <mergeCell ref="AD53:AD55"/>
    <mergeCell ref="AE53:AE55"/>
    <mergeCell ref="D53:D59"/>
    <mergeCell ref="I53:I55"/>
    <mergeCell ref="V53:V55"/>
    <mergeCell ref="AE61:AE62"/>
    <mergeCell ref="AF61:AF62"/>
    <mergeCell ref="AG61:AG62"/>
    <mergeCell ref="AH61:AH62"/>
    <mergeCell ref="AI61:AI62"/>
    <mergeCell ref="AJ61:AJ62"/>
    <mergeCell ref="Y61:Y62"/>
    <mergeCell ref="Z61:Z62"/>
    <mergeCell ref="AA61:AA62"/>
    <mergeCell ref="AB61:AB62"/>
    <mergeCell ref="AC61:AC62"/>
    <mergeCell ref="AD61:AD62"/>
    <mergeCell ref="AW61:AW62"/>
    <mergeCell ref="AQ61:AQ62"/>
    <mergeCell ref="AR61:AR62"/>
    <mergeCell ref="AS61:AS62"/>
    <mergeCell ref="AT61:AT62"/>
    <mergeCell ref="AU61:AU62"/>
    <mergeCell ref="AV61:AV62"/>
    <mergeCell ref="AK61:AK62"/>
    <mergeCell ref="AL61:AL62"/>
    <mergeCell ref="AM61:AM62"/>
    <mergeCell ref="AN61:AN62"/>
    <mergeCell ref="AO61:AO62"/>
    <mergeCell ref="AP61:AP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 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Caballero</dc:creator>
  <cp:lastModifiedBy>jgomez</cp:lastModifiedBy>
  <dcterms:created xsi:type="dcterms:W3CDTF">2016-07-30T16:27:01Z</dcterms:created>
  <dcterms:modified xsi:type="dcterms:W3CDTF">2017-04-27T21:12:19Z</dcterms:modified>
</cp:coreProperties>
</file>